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Finance\Multi-Year Projections\2.28.22 Work\"/>
    </mc:Choice>
  </mc:AlternateContent>
  <bookViews>
    <workbookView xWindow="0" yWindow="0" windowWidth="28800" windowHeight="12300"/>
  </bookViews>
  <sheets>
    <sheet name="Mode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7" i="1" l="1"/>
  <c r="F97" i="1"/>
  <c r="G97" i="1"/>
  <c r="H97" i="1"/>
  <c r="I97" i="1"/>
  <c r="J97" i="1"/>
  <c r="K97" i="1"/>
  <c r="L97" i="1"/>
  <c r="M97" i="1"/>
  <c r="E21" i="1" l="1"/>
  <c r="M207" i="1" l="1"/>
  <c r="L207" i="1"/>
  <c r="K207" i="1"/>
  <c r="J207" i="1"/>
  <c r="I207" i="1"/>
  <c r="H207" i="1"/>
  <c r="G207" i="1"/>
  <c r="F207" i="1"/>
  <c r="D227" i="1" l="1"/>
  <c r="D235" i="1"/>
  <c r="E235" i="1" s="1"/>
  <c r="F235" i="1" s="1"/>
  <c r="G235" i="1" s="1"/>
  <c r="H235" i="1" s="1"/>
  <c r="I235" i="1" s="1"/>
  <c r="C233" i="1"/>
  <c r="C236" i="1" s="1"/>
  <c r="D228" i="1"/>
  <c r="E228" i="1" s="1"/>
  <c r="F228" i="1" s="1"/>
  <c r="G228" i="1" s="1"/>
  <c r="H228" i="1" s="1"/>
  <c r="I228" i="1" s="1"/>
  <c r="J228" i="1" s="1"/>
  <c r="K228" i="1" s="1"/>
  <c r="L228" i="1" s="1"/>
  <c r="M228" i="1" s="1"/>
  <c r="D189" i="1"/>
  <c r="E189" i="1" s="1"/>
  <c r="F189" i="1" s="1"/>
  <c r="G189" i="1" s="1"/>
  <c r="H189" i="1" s="1"/>
  <c r="I189" i="1" s="1"/>
  <c r="J189" i="1" s="1"/>
  <c r="K189" i="1" s="1"/>
  <c r="L189" i="1" s="1"/>
  <c r="M189" i="1" s="1"/>
  <c r="D152" i="1"/>
  <c r="E152" i="1" s="1"/>
  <c r="F152" i="1" s="1"/>
  <c r="G152" i="1" s="1"/>
  <c r="H152" i="1" s="1"/>
  <c r="I152" i="1" s="1"/>
  <c r="J152" i="1" s="1"/>
  <c r="K152" i="1" s="1"/>
  <c r="L152" i="1" s="1"/>
  <c r="M152" i="1" s="1"/>
  <c r="D107" i="1"/>
  <c r="E107" i="1" s="1"/>
  <c r="F107" i="1" s="1"/>
  <c r="G107" i="1" s="1"/>
  <c r="H107" i="1" s="1"/>
  <c r="I107" i="1" s="1"/>
  <c r="J107" i="1" s="1"/>
  <c r="K107" i="1" s="1"/>
  <c r="L107" i="1" s="1"/>
  <c r="M107" i="1" s="1"/>
  <c r="E207" i="1"/>
  <c r="D207" i="1"/>
  <c r="D190" i="1"/>
  <c r="E190" i="1" s="1"/>
  <c r="F190" i="1" s="1"/>
  <c r="G190" i="1" s="1"/>
  <c r="H190" i="1" s="1"/>
  <c r="I190" i="1" s="1"/>
  <c r="J190" i="1" s="1"/>
  <c r="K190" i="1" s="1"/>
  <c r="L190" i="1" s="1"/>
  <c r="M190" i="1" s="1"/>
  <c r="C191" i="1"/>
  <c r="D191" i="1" s="1"/>
  <c r="E191" i="1" s="1"/>
  <c r="F191" i="1" s="1"/>
  <c r="G191" i="1" s="1"/>
  <c r="H191" i="1" s="1"/>
  <c r="I191" i="1" s="1"/>
  <c r="J191" i="1" s="1"/>
  <c r="K191" i="1" s="1"/>
  <c r="L191" i="1" s="1"/>
  <c r="M191" i="1" s="1"/>
  <c r="C154" i="1"/>
  <c r="C153" i="1"/>
  <c r="D153" i="1" s="1"/>
  <c r="E153" i="1" s="1"/>
  <c r="F153" i="1" s="1"/>
  <c r="G153" i="1" s="1"/>
  <c r="H153" i="1" s="1"/>
  <c r="I153" i="1" s="1"/>
  <c r="J153" i="1" s="1"/>
  <c r="K153" i="1" s="1"/>
  <c r="L153" i="1" s="1"/>
  <c r="M153" i="1" s="1"/>
  <c r="C62" i="1"/>
  <c r="D109" i="1"/>
  <c r="E109" i="1" s="1"/>
  <c r="F109" i="1" s="1"/>
  <c r="G109" i="1" s="1"/>
  <c r="H109" i="1" s="1"/>
  <c r="I109" i="1" s="1"/>
  <c r="J109" i="1" s="1"/>
  <c r="K109" i="1" s="1"/>
  <c r="L109" i="1" s="1"/>
  <c r="M109" i="1" s="1"/>
  <c r="C110" i="1"/>
  <c r="C113" i="1"/>
  <c r="D113" i="1" s="1"/>
  <c r="E113" i="1" s="1"/>
  <c r="C108" i="1"/>
  <c r="C200" i="1"/>
  <c r="C162" i="1"/>
  <c r="C132" i="1"/>
  <c r="C125" i="1"/>
  <c r="E227" i="1" l="1"/>
  <c r="J235" i="1"/>
  <c r="C229" i="1"/>
  <c r="C193" i="1"/>
  <c r="F113" i="1"/>
  <c r="G113" i="1" s="1"/>
  <c r="H113" i="1" s="1"/>
  <c r="I113" i="1" s="1"/>
  <c r="J113" i="1" s="1"/>
  <c r="K113" i="1" s="1"/>
  <c r="L113" i="1" s="1"/>
  <c r="M113" i="1" s="1"/>
  <c r="D154" i="1"/>
  <c r="E154" i="1" s="1"/>
  <c r="F154" i="1" s="1"/>
  <c r="G154" i="1" s="1"/>
  <c r="H154" i="1" s="1"/>
  <c r="I154" i="1" s="1"/>
  <c r="J154" i="1" s="1"/>
  <c r="K154" i="1" s="1"/>
  <c r="L154" i="1" s="1"/>
  <c r="M154" i="1" s="1"/>
  <c r="C112" i="1"/>
  <c r="C213" i="1"/>
  <c r="C212" i="1"/>
  <c r="C209" i="1"/>
  <c r="C205" i="1"/>
  <c r="C203" i="1"/>
  <c r="C197" i="1"/>
  <c r="C198" i="1"/>
  <c r="C199" i="1"/>
  <c r="C175" i="1"/>
  <c r="C174" i="1"/>
  <c r="D169" i="1"/>
  <c r="E169" i="1"/>
  <c r="F169" i="1"/>
  <c r="G169" i="1"/>
  <c r="H169" i="1"/>
  <c r="I169" i="1"/>
  <c r="J169" i="1"/>
  <c r="K169" i="1"/>
  <c r="C169" i="1"/>
  <c r="C167" i="1"/>
  <c r="C160" i="1"/>
  <c r="C161" i="1"/>
  <c r="C159" i="1"/>
  <c r="M165" i="1"/>
  <c r="L165" i="1"/>
  <c r="K165" i="1"/>
  <c r="J165" i="1"/>
  <c r="I165" i="1"/>
  <c r="H165" i="1"/>
  <c r="G165" i="1"/>
  <c r="F165" i="1"/>
  <c r="E165" i="1"/>
  <c r="D165" i="1"/>
  <c r="C165" i="1"/>
  <c r="C138" i="1"/>
  <c r="C137" i="1"/>
  <c r="C134" i="1"/>
  <c r="D132" i="1"/>
  <c r="E132" i="1"/>
  <c r="F132" i="1"/>
  <c r="G132" i="1"/>
  <c r="H132" i="1"/>
  <c r="I132" i="1"/>
  <c r="J132" i="1"/>
  <c r="K132" i="1"/>
  <c r="C130" i="1"/>
  <c r="C128" i="1"/>
  <c r="C120" i="1"/>
  <c r="C121" i="1"/>
  <c r="C122" i="1"/>
  <c r="C123" i="1"/>
  <c r="C124" i="1"/>
  <c r="C119" i="1"/>
  <c r="L69" i="1"/>
  <c r="M69" i="1" s="1"/>
  <c r="L68" i="1"/>
  <c r="M68" i="1" s="1"/>
  <c r="M169" i="1" s="1"/>
  <c r="L67" i="1"/>
  <c r="M67" i="1" s="1"/>
  <c r="M132" i="1" s="1"/>
  <c r="F227" i="1" l="1"/>
  <c r="K235" i="1"/>
  <c r="C238" i="1"/>
  <c r="D193" i="1"/>
  <c r="C163" i="1"/>
  <c r="C111" i="1"/>
  <c r="C126" i="1"/>
  <c r="L169" i="1"/>
  <c r="C201" i="1"/>
  <c r="L132" i="1"/>
  <c r="D74" i="1"/>
  <c r="D19" i="1"/>
  <c r="E19" i="1" s="1"/>
  <c r="F19" i="1" s="1"/>
  <c r="G19" i="1" s="1"/>
  <c r="H19" i="1" s="1"/>
  <c r="I19" i="1" s="1"/>
  <c r="J19" i="1" s="1"/>
  <c r="K19" i="1" s="1"/>
  <c r="L19" i="1" s="1"/>
  <c r="M19" i="1" s="1"/>
  <c r="D73" i="1"/>
  <c r="C94" i="1"/>
  <c r="C93" i="1"/>
  <c r="C92" i="1"/>
  <c r="C139" i="1" s="1"/>
  <c r="D72" i="1"/>
  <c r="D134" i="1" s="1"/>
  <c r="F21" i="1"/>
  <c r="G21" i="1" s="1"/>
  <c r="H21" i="1" s="1"/>
  <c r="I21" i="1" s="1"/>
  <c r="J21" i="1" s="1"/>
  <c r="K21" i="1" s="1"/>
  <c r="L21" i="1" s="1"/>
  <c r="M21" i="1" s="1"/>
  <c r="E20" i="1"/>
  <c r="F20" i="1" s="1"/>
  <c r="G20" i="1" s="1"/>
  <c r="H20" i="1" s="1"/>
  <c r="I20" i="1" s="1"/>
  <c r="J20" i="1" s="1"/>
  <c r="K20" i="1" s="1"/>
  <c r="L20" i="1" s="1"/>
  <c r="M20" i="1" s="1"/>
  <c r="E25" i="1"/>
  <c r="F25" i="1"/>
  <c r="G25" i="1"/>
  <c r="H25" i="1"/>
  <c r="I25" i="1"/>
  <c r="J25" i="1"/>
  <c r="K25" i="1"/>
  <c r="L25" i="1"/>
  <c r="M25" i="1"/>
  <c r="D25" i="1"/>
  <c r="D97" i="1" s="1"/>
  <c r="C48" i="1"/>
  <c r="D36" i="1"/>
  <c r="D122" i="1" s="1"/>
  <c r="D110" i="1" l="1"/>
  <c r="E110" i="1" s="1"/>
  <c r="F110" i="1" s="1"/>
  <c r="G110" i="1" s="1"/>
  <c r="H110" i="1" s="1"/>
  <c r="I110" i="1" s="1"/>
  <c r="J110" i="1" s="1"/>
  <c r="K110" i="1" s="1"/>
  <c r="L110" i="1" s="1"/>
  <c r="M110" i="1" s="1"/>
  <c r="D233" i="1"/>
  <c r="G227" i="1"/>
  <c r="L235" i="1"/>
  <c r="D155" i="1"/>
  <c r="C155" i="1"/>
  <c r="E155" i="1"/>
  <c r="D112" i="1"/>
  <c r="F155" i="1"/>
  <c r="D111" i="1"/>
  <c r="D59" i="1"/>
  <c r="D203" i="1" s="1"/>
  <c r="D108" i="1"/>
  <c r="D62" i="1"/>
  <c r="D130" i="1" s="1"/>
  <c r="C115" i="1"/>
  <c r="C78" i="1"/>
  <c r="C177" i="1" s="1"/>
  <c r="C176" i="1"/>
  <c r="C77" i="1"/>
  <c r="C140" i="1" s="1"/>
  <c r="C141" i="1" s="1"/>
  <c r="C143" i="1" s="1"/>
  <c r="E73" i="1"/>
  <c r="D171" i="1"/>
  <c r="E74" i="1"/>
  <c r="D209" i="1"/>
  <c r="C79" i="1"/>
  <c r="C214" i="1"/>
  <c r="E72" i="1"/>
  <c r="D64" i="1"/>
  <c r="D205" i="1" s="1"/>
  <c r="D58" i="1"/>
  <c r="E58" i="1" s="1"/>
  <c r="F58" i="1" s="1"/>
  <c r="G58" i="1" s="1"/>
  <c r="H58" i="1" s="1"/>
  <c r="I58" i="1" s="1"/>
  <c r="J58" i="1" s="1"/>
  <c r="K58" i="1" s="1"/>
  <c r="L58" i="1" s="1"/>
  <c r="M58" i="1" s="1"/>
  <c r="D63" i="1"/>
  <c r="D167" i="1" s="1"/>
  <c r="D57" i="1"/>
  <c r="D45" i="1"/>
  <c r="D198" i="1" s="1"/>
  <c r="D46" i="1"/>
  <c r="D44" i="1"/>
  <c r="D42" i="1"/>
  <c r="D41" i="1"/>
  <c r="D40" i="1"/>
  <c r="D37" i="1"/>
  <c r="D123" i="1" s="1"/>
  <c r="E36" i="1"/>
  <c r="D35" i="1"/>
  <c r="D38" i="1"/>
  <c r="D34" i="1"/>
  <c r="D33" i="1"/>
  <c r="D119" i="1" s="1"/>
  <c r="E233" i="1" l="1"/>
  <c r="D236" i="1"/>
  <c r="D239" i="1" s="1"/>
  <c r="M235" i="1"/>
  <c r="D87" i="1"/>
  <c r="E87" i="1" s="1"/>
  <c r="F87" i="1" s="1"/>
  <c r="G87" i="1" s="1"/>
  <c r="H87" i="1" s="1"/>
  <c r="I87" i="1" s="1"/>
  <c r="J87" i="1" s="1"/>
  <c r="K87" i="1" s="1"/>
  <c r="L87" i="1" s="1"/>
  <c r="M87" i="1" s="1"/>
  <c r="D89" i="1"/>
  <c r="E89" i="1" s="1"/>
  <c r="F89" i="1" s="1"/>
  <c r="G89" i="1" s="1"/>
  <c r="H89" i="1" s="1"/>
  <c r="I89" i="1" s="1"/>
  <c r="J89" i="1" s="1"/>
  <c r="K89" i="1" s="1"/>
  <c r="L89" i="1" s="1"/>
  <c r="M89" i="1" s="1"/>
  <c r="D88" i="1"/>
  <c r="E88" i="1" s="1"/>
  <c r="F88" i="1" s="1"/>
  <c r="G88" i="1" s="1"/>
  <c r="H88" i="1" s="1"/>
  <c r="I88" i="1" s="1"/>
  <c r="J88" i="1" s="1"/>
  <c r="K88" i="1" s="1"/>
  <c r="L88" i="1" s="1"/>
  <c r="M88" i="1" s="1"/>
  <c r="E59" i="1"/>
  <c r="F59" i="1" s="1"/>
  <c r="H227" i="1"/>
  <c r="E111" i="1"/>
  <c r="D78" i="1"/>
  <c r="E78" i="1" s="1"/>
  <c r="E112" i="1"/>
  <c r="G155" i="1"/>
  <c r="D77" i="1"/>
  <c r="E77" i="1" s="1"/>
  <c r="C178" i="1"/>
  <c r="C180" i="1" s="1"/>
  <c r="C182" i="1" s="1"/>
  <c r="E108" i="1"/>
  <c r="D115" i="1"/>
  <c r="D79" i="1"/>
  <c r="C215" i="1"/>
  <c r="C216" i="1" s="1"/>
  <c r="C218" i="1" s="1"/>
  <c r="C220" i="1" s="1"/>
  <c r="F74" i="1"/>
  <c r="E209" i="1"/>
  <c r="E37" i="1"/>
  <c r="F37" i="1" s="1"/>
  <c r="E40" i="1"/>
  <c r="D159" i="1"/>
  <c r="E42" i="1"/>
  <c r="D161" i="1"/>
  <c r="F73" i="1"/>
  <c r="E171" i="1"/>
  <c r="E41" i="1"/>
  <c r="D160" i="1"/>
  <c r="E44" i="1"/>
  <c r="D197" i="1"/>
  <c r="E46" i="1"/>
  <c r="D199" i="1"/>
  <c r="E63" i="1"/>
  <c r="E167" i="1" s="1"/>
  <c r="F36" i="1"/>
  <c r="E122" i="1"/>
  <c r="E64" i="1"/>
  <c r="E205" i="1" s="1"/>
  <c r="E62" i="1"/>
  <c r="E34" i="1"/>
  <c r="D120" i="1"/>
  <c r="F72" i="1"/>
  <c r="E134" i="1"/>
  <c r="E38" i="1"/>
  <c r="D124" i="1"/>
  <c r="E57" i="1"/>
  <c r="D128" i="1"/>
  <c r="E35" i="1"/>
  <c r="D121" i="1"/>
  <c r="E45" i="1"/>
  <c r="E198" i="1" s="1"/>
  <c r="D48" i="1"/>
  <c r="D49" i="1" s="1"/>
  <c r="E33" i="1"/>
  <c r="E119" i="1" s="1"/>
  <c r="D174" i="1" l="1"/>
  <c r="D212" i="1"/>
  <c r="D137" i="1"/>
  <c r="F233" i="1"/>
  <c r="E236" i="1"/>
  <c r="E239" i="1" s="1"/>
  <c r="E203" i="1"/>
  <c r="I227" i="1"/>
  <c r="F112" i="1"/>
  <c r="G112" i="1" s="1"/>
  <c r="H112" i="1" s="1"/>
  <c r="I112" i="1" s="1"/>
  <c r="J112" i="1" s="1"/>
  <c r="K112" i="1" s="1"/>
  <c r="L112" i="1" s="1"/>
  <c r="M112" i="1" s="1"/>
  <c r="F111" i="1"/>
  <c r="G111" i="1" s="1"/>
  <c r="H111" i="1" s="1"/>
  <c r="I111" i="1" s="1"/>
  <c r="J111" i="1" s="1"/>
  <c r="K111" i="1" s="1"/>
  <c r="L111" i="1" s="1"/>
  <c r="M111" i="1" s="1"/>
  <c r="D177" i="1"/>
  <c r="D140" i="1"/>
  <c r="H155" i="1"/>
  <c r="F108" i="1"/>
  <c r="E115" i="1"/>
  <c r="F41" i="1"/>
  <c r="E160" i="1"/>
  <c r="F203" i="1"/>
  <c r="G59" i="1"/>
  <c r="F40" i="1"/>
  <c r="E159" i="1"/>
  <c r="E123" i="1"/>
  <c r="E174" i="1"/>
  <c r="G73" i="1"/>
  <c r="F171" i="1"/>
  <c r="G74" i="1"/>
  <c r="F209" i="1"/>
  <c r="E212" i="1"/>
  <c r="F44" i="1"/>
  <c r="E197" i="1"/>
  <c r="E79" i="1"/>
  <c r="D215" i="1"/>
  <c r="F42" i="1"/>
  <c r="E161" i="1"/>
  <c r="F46" i="1"/>
  <c r="E199" i="1"/>
  <c r="F78" i="1"/>
  <c r="E177" i="1"/>
  <c r="F64" i="1"/>
  <c r="F205" i="1" s="1"/>
  <c r="G36" i="1"/>
  <c r="F122" i="1"/>
  <c r="F57" i="1"/>
  <c r="E128" i="1"/>
  <c r="F38" i="1"/>
  <c r="E124" i="1"/>
  <c r="F35" i="1"/>
  <c r="E121" i="1"/>
  <c r="G37" i="1"/>
  <c r="F123" i="1"/>
  <c r="F62" i="1"/>
  <c r="E130" i="1"/>
  <c r="G72" i="1"/>
  <c r="F134" i="1"/>
  <c r="F63" i="1"/>
  <c r="F167" i="1" s="1"/>
  <c r="F34" i="1"/>
  <c r="E120" i="1"/>
  <c r="F77" i="1"/>
  <c r="E140" i="1"/>
  <c r="E137" i="1"/>
  <c r="F45" i="1"/>
  <c r="F198" i="1" s="1"/>
  <c r="E48" i="1"/>
  <c r="E49" i="1" s="1"/>
  <c r="F33" i="1"/>
  <c r="F119" i="1" s="1"/>
  <c r="D54" i="1"/>
  <c r="D200" i="1" s="1"/>
  <c r="D201" i="1" s="1"/>
  <c r="D53" i="1"/>
  <c r="D162" i="1" s="1"/>
  <c r="D163" i="1" s="1"/>
  <c r="D52" i="1"/>
  <c r="D125" i="1" s="1"/>
  <c r="G233" i="1" l="1"/>
  <c r="F236" i="1"/>
  <c r="F239" i="1" s="1"/>
  <c r="J227" i="1"/>
  <c r="E193" i="1"/>
  <c r="I155" i="1"/>
  <c r="G108" i="1"/>
  <c r="F115" i="1"/>
  <c r="G44" i="1"/>
  <c r="F197" i="1"/>
  <c r="G40" i="1"/>
  <c r="F159" i="1"/>
  <c r="G46" i="1"/>
  <c r="F199" i="1"/>
  <c r="H59" i="1"/>
  <c r="G203" i="1"/>
  <c r="H73" i="1"/>
  <c r="G171" i="1"/>
  <c r="F174" i="1"/>
  <c r="F212" i="1"/>
  <c r="G42" i="1"/>
  <c r="F161" i="1"/>
  <c r="F79" i="1"/>
  <c r="E215" i="1"/>
  <c r="G78" i="1"/>
  <c r="F177" i="1"/>
  <c r="H74" i="1"/>
  <c r="G209" i="1"/>
  <c r="G41" i="1"/>
  <c r="F160" i="1"/>
  <c r="G63" i="1"/>
  <c r="G167" i="1" s="1"/>
  <c r="G35" i="1"/>
  <c r="F121" i="1"/>
  <c r="G57" i="1"/>
  <c r="F128" i="1"/>
  <c r="H36" i="1"/>
  <c r="G122" i="1"/>
  <c r="G62" i="1"/>
  <c r="F130" i="1"/>
  <c r="F137" i="1"/>
  <c r="G64" i="1"/>
  <c r="G205" i="1" s="1"/>
  <c r="G34" i="1"/>
  <c r="F120" i="1"/>
  <c r="G38" i="1"/>
  <c r="F124" i="1"/>
  <c r="H72" i="1"/>
  <c r="G134" i="1"/>
  <c r="G77" i="1"/>
  <c r="F140" i="1"/>
  <c r="H37" i="1"/>
  <c r="G123" i="1"/>
  <c r="D126" i="1"/>
  <c r="G45" i="1"/>
  <c r="G198" i="1" s="1"/>
  <c r="D82" i="1"/>
  <c r="D138" i="1" s="1"/>
  <c r="D92" i="1"/>
  <c r="D139" i="1" s="1"/>
  <c r="D83" i="1"/>
  <c r="D175" i="1" s="1"/>
  <c r="D93" i="1"/>
  <c r="D176" i="1" s="1"/>
  <c r="D94" i="1"/>
  <c r="D214" i="1" s="1"/>
  <c r="D84" i="1"/>
  <c r="D213" i="1" s="1"/>
  <c r="F48" i="1"/>
  <c r="F49" i="1" s="1"/>
  <c r="G33" i="1"/>
  <c r="G119" i="1" s="1"/>
  <c r="E52" i="1"/>
  <c r="E125" i="1" s="1"/>
  <c r="E53" i="1"/>
  <c r="E162" i="1" s="1"/>
  <c r="E163" i="1" s="1"/>
  <c r="E54" i="1"/>
  <c r="E200" i="1" s="1"/>
  <c r="E201" i="1" s="1"/>
  <c r="H233" i="1" l="1"/>
  <c r="G236" i="1"/>
  <c r="G239" i="1" s="1"/>
  <c r="K227" i="1"/>
  <c r="D229" i="1"/>
  <c r="D238" i="1" s="1"/>
  <c r="D216" i="1"/>
  <c r="D218" i="1" s="1"/>
  <c r="F193" i="1"/>
  <c r="J155" i="1"/>
  <c r="H108" i="1"/>
  <c r="G115" i="1"/>
  <c r="D178" i="1"/>
  <c r="D180" i="1" s="1"/>
  <c r="I73" i="1"/>
  <c r="H171" i="1"/>
  <c r="I59" i="1"/>
  <c r="H203" i="1"/>
  <c r="G79" i="1"/>
  <c r="F215" i="1"/>
  <c r="H78" i="1"/>
  <c r="G177" i="1"/>
  <c r="H46" i="1"/>
  <c r="G199" i="1"/>
  <c r="G212" i="1"/>
  <c r="H40" i="1"/>
  <c r="G159" i="1"/>
  <c r="I74" i="1"/>
  <c r="H209" i="1"/>
  <c r="H42" i="1"/>
  <c r="G161" i="1"/>
  <c r="H41" i="1"/>
  <c r="G160" i="1"/>
  <c r="G174" i="1"/>
  <c r="H44" i="1"/>
  <c r="G197" i="1"/>
  <c r="I72" i="1"/>
  <c r="H134" i="1"/>
  <c r="D141" i="1"/>
  <c r="D143" i="1" s="1"/>
  <c r="H64" i="1"/>
  <c r="H205" i="1" s="1"/>
  <c r="H57" i="1"/>
  <c r="G128" i="1"/>
  <c r="H38" i="1"/>
  <c r="G124" i="1"/>
  <c r="I36" i="1"/>
  <c r="H122" i="1"/>
  <c r="H34" i="1"/>
  <c r="G120" i="1"/>
  <c r="E126" i="1"/>
  <c r="I37" i="1"/>
  <c r="H123" i="1"/>
  <c r="G137" i="1"/>
  <c r="H35" i="1"/>
  <c r="G121" i="1"/>
  <c r="H62" i="1"/>
  <c r="G130" i="1"/>
  <c r="H77" i="1"/>
  <c r="G140" i="1"/>
  <c r="H63" i="1"/>
  <c r="H167" i="1" s="1"/>
  <c r="E92" i="1"/>
  <c r="E139" i="1" s="1"/>
  <c r="E82" i="1"/>
  <c r="E138" i="1" s="1"/>
  <c r="E83" i="1"/>
  <c r="E175" i="1" s="1"/>
  <c r="E93" i="1"/>
  <c r="E176" i="1" s="1"/>
  <c r="H45" i="1"/>
  <c r="H198" i="1" s="1"/>
  <c r="E84" i="1"/>
  <c r="E213" i="1" s="1"/>
  <c r="E94" i="1"/>
  <c r="E214" i="1" s="1"/>
  <c r="F53" i="1"/>
  <c r="F162" i="1" s="1"/>
  <c r="F163" i="1" s="1"/>
  <c r="G48" i="1"/>
  <c r="G49" i="1" s="1"/>
  <c r="H33" i="1"/>
  <c r="H119" i="1" s="1"/>
  <c r="F54" i="1"/>
  <c r="F200" i="1" s="1"/>
  <c r="F201" i="1" s="1"/>
  <c r="F52" i="1"/>
  <c r="F125" i="1" s="1"/>
  <c r="I233" i="1" l="1"/>
  <c r="H236" i="1"/>
  <c r="H239" i="1" s="1"/>
  <c r="L227" i="1"/>
  <c r="E229" i="1"/>
  <c r="E238" i="1" s="1"/>
  <c r="D220" i="1"/>
  <c r="D221" i="1"/>
  <c r="D145" i="1"/>
  <c r="D146" i="1"/>
  <c r="D182" i="1"/>
  <c r="D183" i="1"/>
  <c r="G193" i="1"/>
  <c r="K155" i="1"/>
  <c r="E141" i="1"/>
  <c r="E143" i="1" s="1"/>
  <c r="I108" i="1"/>
  <c r="H115" i="1"/>
  <c r="E178" i="1"/>
  <c r="E180" i="1" s="1"/>
  <c r="E216" i="1"/>
  <c r="E218" i="1" s="1"/>
  <c r="H212" i="1"/>
  <c r="H174" i="1"/>
  <c r="I78" i="1"/>
  <c r="H177" i="1"/>
  <c r="I46" i="1"/>
  <c r="H199" i="1"/>
  <c r="H79" i="1"/>
  <c r="G215" i="1"/>
  <c r="J59" i="1"/>
  <c r="I203" i="1"/>
  <c r="I41" i="1"/>
  <c r="H160" i="1"/>
  <c r="I42" i="1"/>
  <c r="H161" i="1"/>
  <c r="J74" i="1"/>
  <c r="I209" i="1"/>
  <c r="I40" i="1"/>
  <c r="H159" i="1"/>
  <c r="I44" i="1"/>
  <c r="H197" i="1"/>
  <c r="J73" i="1"/>
  <c r="I171" i="1"/>
  <c r="I35" i="1"/>
  <c r="H121" i="1"/>
  <c r="H137" i="1"/>
  <c r="I57" i="1"/>
  <c r="H128" i="1"/>
  <c r="J36" i="1"/>
  <c r="I122" i="1"/>
  <c r="I38" i="1"/>
  <c r="H124" i="1"/>
  <c r="J37" i="1"/>
  <c r="I123" i="1"/>
  <c r="I64" i="1"/>
  <c r="I205" i="1" s="1"/>
  <c r="F126" i="1"/>
  <c r="I62" i="1"/>
  <c r="H130" i="1"/>
  <c r="I63" i="1"/>
  <c r="I167" i="1" s="1"/>
  <c r="I77" i="1"/>
  <c r="H140" i="1"/>
  <c r="I34" i="1"/>
  <c r="H120" i="1"/>
  <c r="J72" i="1"/>
  <c r="I134" i="1"/>
  <c r="F93" i="1"/>
  <c r="F176" i="1" s="1"/>
  <c r="F83" i="1"/>
  <c r="F175" i="1" s="1"/>
  <c r="F84" i="1"/>
  <c r="F213" i="1" s="1"/>
  <c r="F94" i="1"/>
  <c r="F214" i="1" s="1"/>
  <c r="I45" i="1"/>
  <c r="I198" i="1" s="1"/>
  <c r="F92" i="1"/>
  <c r="F139" i="1" s="1"/>
  <c r="F82" i="1"/>
  <c r="F138" i="1" s="1"/>
  <c r="G53" i="1"/>
  <c r="G162" i="1" s="1"/>
  <c r="G163" i="1" s="1"/>
  <c r="G52" i="1"/>
  <c r="G125" i="1" s="1"/>
  <c r="G54" i="1"/>
  <c r="G200" i="1" s="1"/>
  <c r="G201" i="1" s="1"/>
  <c r="I33" i="1"/>
  <c r="I119" i="1" s="1"/>
  <c r="H48" i="1"/>
  <c r="H49" i="1" s="1"/>
  <c r="J233" i="1" l="1"/>
  <c r="I236" i="1"/>
  <c r="I239" i="1" s="1"/>
  <c r="M227" i="1"/>
  <c r="F229" i="1"/>
  <c r="F238" i="1" s="1"/>
  <c r="E182" i="1"/>
  <c r="E183" i="1"/>
  <c r="E220" i="1"/>
  <c r="E221" i="1"/>
  <c r="E145" i="1"/>
  <c r="E146" i="1"/>
  <c r="H193" i="1"/>
  <c r="L155" i="1"/>
  <c r="M155" i="1"/>
  <c r="J108" i="1"/>
  <c r="I115" i="1"/>
  <c r="F178" i="1"/>
  <c r="F180" i="1" s="1"/>
  <c r="F141" i="1"/>
  <c r="F143" i="1" s="1"/>
  <c r="I79" i="1"/>
  <c r="H215" i="1"/>
  <c r="J44" i="1"/>
  <c r="I197" i="1"/>
  <c r="J46" i="1"/>
  <c r="I199" i="1"/>
  <c r="J40" i="1"/>
  <c r="I159" i="1"/>
  <c r="J78" i="1"/>
  <c r="I177" i="1"/>
  <c r="F216" i="1"/>
  <c r="F218" i="1" s="1"/>
  <c r="K74" i="1"/>
  <c r="J209" i="1"/>
  <c r="I174" i="1"/>
  <c r="K59" i="1"/>
  <c r="J203" i="1"/>
  <c r="J42" i="1"/>
  <c r="I161" i="1"/>
  <c r="K73" i="1"/>
  <c r="J171" i="1"/>
  <c r="J41" i="1"/>
  <c r="I160" i="1"/>
  <c r="I212" i="1"/>
  <c r="J38" i="1"/>
  <c r="I124" i="1"/>
  <c r="K72" i="1"/>
  <c r="J134" i="1"/>
  <c r="J62" i="1"/>
  <c r="I130" i="1"/>
  <c r="J77" i="1"/>
  <c r="I140" i="1"/>
  <c r="J63" i="1"/>
  <c r="J167" i="1" s="1"/>
  <c r="J57" i="1"/>
  <c r="I128" i="1"/>
  <c r="G126" i="1"/>
  <c r="I137" i="1"/>
  <c r="K37" i="1"/>
  <c r="J123" i="1"/>
  <c r="K36" i="1"/>
  <c r="J122" i="1"/>
  <c r="J34" i="1"/>
  <c r="I120" i="1"/>
  <c r="J64" i="1"/>
  <c r="J205" i="1" s="1"/>
  <c r="J35" i="1"/>
  <c r="I121" i="1"/>
  <c r="G84" i="1"/>
  <c r="G213" i="1" s="1"/>
  <c r="G94" i="1"/>
  <c r="G214" i="1" s="1"/>
  <c r="G93" i="1"/>
  <c r="G176" i="1" s="1"/>
  <c r="G83" i="1"/>
  <c r="G175" i="1" s="1"/>
  <c r="J45" i="1"/>
  <c r="J198" i="1" s="1"/>
  <c r="G92" i="1"/>
  <c r="G139" i="1" s="1"/>
  <c r="G82" i="1"/>
  <c r="G138" i="1" s="1"/>
  <c r="H52" i="1"/>
  <c r="H125" i="1" s="1"/>
  <c r="H53" i="1"/>
  <c r="H162" i="1" s="1"/>
  <c r="H163" i="1" s="1"/>
  <c r="J33" i="1"/>
  <c r="J119" i="1" s="1"/>
  <c r="I48" i="1"/>
  <c r="I49" i="1" s="1"/>
  <c r="H54" i="1"/>
  <c r="H200" i="1" s="1"/>
  <c r="H201" i="1" s="1"/>
  <c r="K233" i="1" l="1"/>
  <c r="J236" i="1"/>
  <c r="J239" i="1" s="1"/>
  <c r="G229" i="1"/>
  <c r="G238" i="1" s="1"/>
  <c r="F145" i="1"/>
  <c r="F146" i="1"/>
  <c r="F182" i="1"/>
  <c r="F183" i="1"/>
  <c r="F220" i="1"/>
  <c r="F221" i="1"/>
  <c r="I193" i="1"/>
  <c r="K108" i="1"/>
  <c r="J115" i="1"/>
  <c r="G141" i="1"/>
  <c r="G143" i="1" s="1"/>
  <c r="G178" i="1"/>
  <c r="G180" i="1" s="1"/>
  <c r="K41" i="1"/>
  <c r="J160" i="1"/>
  <c r="K78" i="1"/>
  <c r="J177" i="1"/>
  <c r="L73" i="1"/>
  <c r="K171" i="1"/>
  <c r="L59" i="1"/>
  <c r="K203" i="1"/>
  <c r="K46" i="1"/>
  <c r="J199" i="1"/>
  <c r="K42" i="1"/>
  <c r="J161" i="1"/>
  <c r="J174" i="1"/>
  <c r="K44" i="1"/>
  <c r="J197" i="1"/>
  <c r="K40" i="1"/>
  <c r="J159" i="1"/>
  <c r="I52" i="1"/>
  <c r="I125" i="1" s="1"/>
  <c r="I126" i="1" s="1"/>
  <c r="G216" i="1"/>
  <c r="G218" i="1" s="1"/>
  <c r="J212" i="1"/>
  <c r="L74" i="1"/>
  <c r="K209" i="1"/>
  <c r="J79" i="1"/>
  <c r="I215" i="1"/>
  <c r="K63" i="1"/>
  <c r="K167" i="1" s="1"/>
  <c r="K77" i="1"/>
  <c r="J140" i="1"/>
  <c r="L37" i="1"/>
  <c r="K123" i="1"/>
  <c r="J137" i="1"/>
  <c r="K35" i="1"/>
  <c r="J121" i="1"/>
  <c r="K62" i="1"/>
  <c r="J130" i="1"/>
  <c r="K64" i="1"/>
  <c r="K205" i="1" s="1"/>
  <c r="L72" i="1"/>
  <c r="K134" i="1"/>
  <c r="K34" i="1"/>
  <c r="J120" i="1"/>
  <c r="K57" i="1"/>
  <c r="J128" i="1"/>
  <c r="H126" i="1"/>
  <c r="L36" i="1"/>
  <c r="K122" i="1"/>
  <c r="K38" i="1"/>
  <c r="J124" i="1"/>
  <c r="H83" i="1"/>
  <c r="H175" i="1" s="1"/>
  <c r="H93" i="1"/>
  <c r="H176" i="1" s="1"/>
  <c r="H92" i="1"/>
  <c r="H139" i="1" s="1"/>
  <c r="H82" i="1"/>
  <c r="H138" i="1" s="1"/>
  <c r="K45" i="1"/>
  <c r="K198" i="1" s="1"/>
  <c r="H94" i="1"/>
  <c r="H214" i="1" s="1"/>
  <c r="H84" i="1"/>
  <c r="H213" i="1" s="1"/>
  <c r="I54" i="1"/>
  <c r="I200" i="1" s="1"/>
  <c r="I201" i="1" s="1"/>
  <c r="I53" i="1"/>
  <c r="I162" i="1" s="1"/>
  <c r="I163" i="1" s="1"/>
  <c r="K33" i="1"/>
  <c r="K119" i="1" s="1"/>
  <c r="J48" i="1"/>
  <c r="J49" i="1" s="1"/>
  <c r="L233" i="1" l="1"/>
  <c r="K236" i="1"/>
  <c r="K239" i="1" s="1"/>
  <c r="H229" i="1"/>
  <c r="H238" i="1" s="1"/>
  <c r="G220" i="1"/>
  <c r="G221" i="1"/>
  <c r="G182" i="1"/>
  <c r="G183" i="1"/>
  <c r="G145" i="1"/>
  <c r="G146" i="1"/>
  <c r="J193" i="1"/>
  <c r="H216" i="1"/>
  <c r="H218" i="1" s="1"/>
  <c r="L108" i="1"/>
  <c r="K115" i="1"/>
  <c r="I82" i="1"/>
  <c r="I138" i="1" s="1"/>
  <c r="J52" i="1"/>
  <c r="J125" i="1" s="1"/>
  <c r="J126" i="1" s="1"/>
  <c r="I92" i="1"/>
  <c r="I139" i="1" s="1"/>
  <c r="L42" i="1"/>
  <c r="K161" i="1"/>
  <c r="M59" i="1"/>
  <c r="M203" i="1" s="1"/>
  <c r="L203" i="1"/>
  <c r="H178" i="1"/>
  <c r="H180" i="1" s="1"/>
  <c r="L44" i="1"/>
  <c r="K197" i="1"/>
  <c r="M73" i="1"/>
  <c r="M171" i="1" s="1"/>
  <c r="L171" i="1"/>
  <c r="L40" i="1"/>
  <c r="K159" i="1"/>
  <c r="K79" i="1"/>
  <c r="J215" i="1"/>
  <c r="K174" i="1"/>
  <c r="L78" i="1"/>
  <c r="K177" i="1"/>
  <c r="K212" i="1"/>
  <c r="L46" i="1"/>
  <c r="K199" i="1"/>
  <c r="M74" i="1"/>
  <c r="M209" i="1" s="1"/>
  <c r="L209" i="1"/>
  <c r="L41" i="1"/>
  <c r="K160" i="1"/>
  <c r="L35" i="1"/>
  <c r="K121" i="1"/>
  <c r="L57" i="1"/>
  <c r="K128" i="1"/>
  <c r="M72" i="1"/>
  <c r="M134" i="1" s="1"/>
  <c r="L134" i="1"/>
  <c r="K137" i="1"/>
  <c r="M37" i="1"/>
  <c r="M123" i="1" s="1"/>
  <c r="L123" i="1"/>
  <c r="L34" i="1"/>
  <c r="K120" i="1"/>
  <c r="L77" i="1"/>
  <c r="K140" i="1"/>
  <c r="L38" i="1"/>
  <c r="K124" i="1"/>
  <c r="L64" i="1"/>
  <c r="L205" i="1" s="1"/>
  <c r="M36" i="1"/>
  <c r="M122" i="1" s="1"/>
  <c r="L122" i="1"/>
  <c r="H141" i="1"/>
  <c r="H143" i="1" s="1"/>
  <c r="L62" i="1"/>
  <c r="K130" i="1"/>
  <c r="L63" i="1"/>
  <c r="L167" i="1" s="1"/>
  <c r="I94" i="1"/>
  <c r="I214" i="1" s="1"/>
  <c r="I84" i="1"/>
  <c r="I213" i="1" s="1"/>
  <c r="L45" i="1"/>
  <c r="L198" i="1" s="1"/>
  <c r="I83" i="1"/>
  <c r="I175" i="1" s="1"/>
  <c r="I93" i="1"/>
  <c r="I176" i="1" s="1"/>
  <c r="J54" i="1"/>
  <c r="J200" i="1" s="1"/>
  <c r="J201" i="1" s="1"/>
  <c r="J53" i="1"/>
  <c r="J162" i="1" s="1"/>
  <c r="J163" i="1" s="1"/>
  <c r="L33" i="1"/>
  <c r="L119" i="1" s="1"/>
  <c r="K48" i="1"/>
  <c r="K49" i="1" s="1"/>
  <c r="M233" i="1" l="1"/>
  <c r="M236" i="1" s="1"/>
  <c r="M239" i="1" s="1"/>
  <c r="L236" i="1"/>
  <c r="L239" i="1" s="1"/>
  <c r="I229" i="1"/>
  <c r="I238" i="1" s="1"/>
  <c r="H220" i="1"/>
  <c r="H221" i="1"/>
  <c r="H182" i="1"/>
  <c r="H183" i="1"/>
  <c r="H145" i="1"/>
  <c r="H146" i="1"/>
  <c r="K193" i="1"/>
  <c r="M108" i="1"/>
  <c r="M115" i="1" s="1"/>
  <c r="L115" i="1"/>
  <c r="I216" i="1"/>
  <c r="I218" i="1" s="1"/>
  <c r="I141" i="1"/>
  <c r="I143" i="1" s="1"/>
  <c r="J82" i="1"/>
  <c r="J138" i="1" s="1"/>
  <c r="K52" i="1"/>
  <c r="K125" i="1" s="1"/>
  <c r="K126" i="1" s="1"/>
  <c r="J92" i="1"/>
  <c r="J139" i="1" s="1"/>
  <c r="M41" i="1"/>
  <c r="M160" i="1" s="1"/>
  <c r="L160" i="1"/>
  <c r="M78" i="1"/>
  <c r="M177" i="1" s="1"/>
  <c r="L177" i="1"/>
  <c r="L79" i="1"/>
  <c r="K215" i="1"/>
  <c r="M42" i="1"/>
  <c r="M161" i="1" s="1"/>
  <c r="L161" i="1"/>
  <c r="I178" i="1"/>
  <c r="I180" i="1" s="1"/>
  <c r="M46" i="1"/>
  <c r="M199" i="1" s="1"/>
  <c r="L199" i="1"/>
  <c r="M212" i="1"/>
  <c r="L212" i="1"/>
  <c r="M44" i="1"/>
  <c r="M197" i="1" s="1"/>
  <c r="L197" i="1"/>
  <c r="M174" i="1"/>
  <c r="L174" i="1"/>
  <c r="M40" i="1"/>
  <c r="M159" i="1" s="1"/>
  <c r="L159" i="1"/>
  <c r="M64" i="1"/>
  <c r="M205" i="1" s="1"/>
  <c r="M137" i="1"/>
  <c r="L137" i="1"/>
  <c r="M34" i="1"/>
  <c r="M120" i="1" s="1"/>
  <c r="L120" i="1"/>
  <c r="M57" i="1"/>
  <c r="M128" i="1" s="1"/>
  <c r="L128" i="1"/>
  <c r="M63" i="1"/>
  <c r="M167" i="1" s="1"/>
  <c r="M38" i="1"/>
  <c r="M124" i="1" s="1"/>
  <c r="L124" i="1"/>
  <c r="M62" i="1"/>
  <c r="L130" i="1"/>
  <c r="M77" i="1"/>
  <c r="M140" i="1" s="1"/>
  <c r="L140" i="1"/>
  <c r="M35" i="1"/>
  <c r="M121" i="1" s="1"/>
  <c r="L121" i="1"/>
  <c r="J84" i="1"/>
  <c r="J213" i="1" s="1"/>
  <c r="J94" i="1"/>
  <c r="J214" i="1" s="1"/>
  <c r="M45" i="1"/>
  <c r="M198" i="1" s="1"/>
  <c r="J83" i="1"/>
  <c r="J175" i="1" s="1"/>
  <c r="J93" i="1"/>
  <c r="J176" i="1" s="1"/>
  <c r="K53" i="1"/>
  <c r="K162" i="1" s="1"/>
  <c r="K163" i="1" s="1"/>
  <c r="K54" i="1"/>
  <c r="K200" i="1" s="1"/>
  <c r="K201" i="1" s="1"/>
  <c r="M33" i="1"/>
  <c r="L48" i="1"/>
  <c r="L49" i="1" s="1"/>
  <c r="J229" i="1" l="1"/>
  <c r="J238" i="1" s="1"/>
  <c r="I182" i="1"/>
  <c r="I183" i="1"/>
  <c r="I145" i="1"/>
  <c r="I146" i="1"/>
  <c r="I220" i="1"/>
  <c r="I221" i="1"/>
  <c r="M193" i="1"/>
  <c r="L193" i="1"/>
  <c r="K92" i="1"/>
  <c r="K139" i="1" s="1"/>
  <c r="J216" i="1"/>
  <c r="J218" i="1" s="1"/>
  <c r="K82" i="1"/>
  <c r="K138" i="1" s="1"/>
  <c r="L52" i="1"/>
  <c r="L125" i="1" s="1"/>
  <c r="L126" i="1" s="1"/>
  <c r="J141" i="1"/>
  <c r="J143" i="1" s="1"/>
  <c r="M79" i="1"/>
  <c r="M215" i="1" s="1"/>
  <c r="L215" i="1"/>
  <c r="J178" i="1"/>
  <c r="J180" i="1" s="1"/>
  <c r="M130" i="1"/>
  <c r="M48" i="1"/>
  <c r="M49" i="1" s="1"/>
  <c r="M119" i="1"/>
  <c r="K94" i="1"/>
  <c r="K214" i="1" s="1"/>
  <c r="K84" i="1"/>
  <c r="K213" i="1" s="1"/>
  <c r="K83" i="1"/>
  <c r="K175" i="1" s="1"/>
  <c r="K93" i="1"/>
  <c r="K176" i="1" s="1"/>
  <c r="L54" i="1"/>
  <c r="L200" i="1" s="1"/>
  <c r="L201" i="1" s="1"/>
  <c r="L53" i="1"/>
  <c r="L162" i="1" s="1"/>
  <c r="L163" i="1" s="1"/>
  <c r="K229" i="1" l="1"/>
  <c r="K238" i="1" s="1"/>
  <c r="J145" i="1"/>
  <c r="J146" i="1"/>
  <c r="J182" i="1"/>
  <c r="J183" i="1"/>
  <c r="J220" i="1"/>
  <c r="J221" i="1"/>
  <c r="K141" i="1"/>
  <c r="K143" i="1" s="1"/>
  <c r="M52" i="1"/>
  <c r="M125" i="1" s="1"/>
  <c r="M126" i="1" s="1"/>
  <c r="L92" i="1"/>
  <c r="L139" i="1" s="1"/>
  <c r="L82" i="1"/>
  <c r="L138" i="1" s="1"/>
  <c r="K216" i="1"/>
  <c r="K218" i="1" s="1"/>
  <c r="K178" i="1"/>
  <c r="K180" i="1" s="1"/>
  <c r="M54" i="1"/>
  <c r="M200" i="1" s="1"/>
  <c r="M201" i="1" s="1"/>
  <c r="L84" i="1"/>
  <c r="L213" i="1" s="1"/>
  <c r="L94" i="1"/>
  <c r="L214" i="1" s="1"/>
  <c r="M53" i="1"/>
  <c r="M162" i="1" s="1"/>
  <c r="M163" i="1" s="1"/>
  <c r="L83" i="1"/>
  <c r="L175" i="1" s="1"/>
  <c r="L93" i="1"/>
  <c r="L176" i="1" s="1"/>
  <c r="L229" i="1" l="1"/>
  <c r="L238" i="1" s="1"/>
  <c r="K220" i="1"/>
  <c r="K221" i="1"/>
  <c r="K145" i="1"/>
  <c r="K146" i="1"/>
  <c r="M92" i="1"/>
  <c r="M139" i="1" s="1"/>
  <c r="M229" i="1" s="1"/>
  <c r="M238" i="1" s="1"/>
  <c r="K182" i="1"/>
  <c r="K183" i="1"/>
  <c r="L141" i="1"/>
  <c r="L143" i="1" s="1"/>
  <c r="M82" i="1"/>
  <c r="M138" i="1" s="1"/>
  <c r="M141" i="1" s="1"/>
  <c r="M143" i="1" s="1"/>
  <c r="L178" i="1"/>
  <c r="L180" i="1" s="1"/>
  <c r="L216" i="1"/>
  <c r="L218" i="1" s="1"/>
  <c r="M83" i="1"/>
  <c r="M175" i="1" s="1"/>
  <c r="M93" i="1"/>
  <c r="M176" i="1" s="1"/>
  <c r="M94" i="1"/>
  <c r="M214" i="1" s="1"/>
  <c r="M84" i="1"/>
  <c r="M213" i="1" s="1"/>
  <c r="L145" i="1" l="1"/>
  <c r="L146" i="1"/>
  <c r="M145" i="1"/>
  <c r="M146" i="1"/>
  <c r="L220" i="1"/>
  <c r="L221" i="1"/>
  <c r="L182" i="1"/>
  <c r="L183" i="1"/>
  <c r="M216" i="1"/>
  <c r="M218" i="1" s="1"/>
  <c r="M178" i="1"/>
  <c r="M180" i="1" s="1"/>
  <c r="M220" i="1" l="1"/>
  <c r="M221" i="1"/>
  <c r="M182" i="1"/>
  <c r="M183" i="1"/>
</calcChain>
</file>

<file path=xl/sharedStrings.xml><?xml version="1.0" encoding="utf-8"?>
<sst xmlns="http://schemas.openxmlformats.org/spreadsheetml/2006/main" count="175" uniqueCount="81">
  <si>
    <t>A - General Fund</t>
  </si>
  <si>
    <t>AFSCME</t>
  </si>
  <si>
    <t>CSEA</t>
  </si>
  <si>
    <t>Department Head</t>
  </si>
  <si>
    <t>Fire</t>
  </si>
  <si>
    <t>Police</t>
  </si>
  <si>
    <t>Unrepresented</t>
  </si>
  <si>
    <t>FX - Water Fund</t>
  </si>
  <si>
    <t>G - Sewer Fund</t>
  </si>
  <si>
    <t>ERS Contribution Rate</t>
  </si>
  <si>
    <t>OTHER PERSONNEL ITEMS</t>
  </si>
  <si>
    <t>A</t>
  </si>
  <si>
    <t>FX</t>
  </si>
  <si>
    <t>G</t>
  </si>
  <si>
    <t>EQUIPMENYT</t>
  </si>
  <si>
    <t>CONTRACUAL</t>
  </si>
  <si>
    <t xml:space="preserve">DEBT </t>
  </si>
  <si>
    <t>INTERFUNDS</t>
  </si>
  <si>
    <t>FICA</t>
  </si>
  <si>
    <t>MEDICAL INSURANCE</t>
  </si>
  <si>
    <t>NYS RETIREMENT</t>
  </si>
  <si>
    <t>OTHER BENFITS</t>
  </si>
  <si>
    <t>Growth of the CPI-U</t>
  </si>
  <si>
    <t>https://www.cbo.gov/data/budget-economic-data#6</t>
  </si>
  <si>
    <t>Growth of the GDP-I</t>
  </si>
  <si>
    <t>Total Wages</t>
  </si>
  <si>
    <t>Growth</t>
  </si>
  <si>
    <t>Personnel Costs</t>
  </si>
  <si>
    <t>Other Costs</t>
  </si>
  <si>
    <t xml:space="preserve">Total Personnel </t>
  </si>
  <si>
    <t>Equipment</t>
  </si>
  <si>
    <t>Contractual</t>
  </si>
  <si>
    <t>Debt Payments</t>
  </si>
  <si>
    <t>Interfund</t>
  </si>
  <si>
    <t>Employee Benefits</t>
  </si>
  <si>
    <t>Health Related</t>
  </si>
  <si>
    <t>Retirement</t>
  </si>
  <si>
    <t>Other</t>
  </si>
  <si>
    <t xml:space="preserve">Total Employee Benefits </t>
  </si>
  <si>
    <t>Model Inputs:</t>
  </si>
  <si>
    <t>Average Projected Inflation</t>
  </si>
  <si>
    <t>PFRS Contribution Rate</t>
  </si>
  <si>
    <t>FICA/Medicare Taxes</t>
  </si>
  <si>
    <t>AFSCME COLA</t>
  </si>
  <si>
    <t>CSEA COLA</t>
  </si>
  <si>
    <t>Department Head COLA</t>
  </si>
  <si>
    <t>Fire COLA</t>
  </si>
  <si>
    <t>Police COLA</t>
  </si>
  <si>
    <t>Unrepresented COLA</t>
  </si>
  <si>
    <t>Input</t>
  </si>
  <si>
    <t>Revenues</t>
  </si>
  <si>
    <t>Property Taxes</t>
  </si>
  <si>
    <t>Sales Taxes</t>
  </si>
  <si>
    <t>State AIM</t>
  </si>
  <si>
    <t xml:space="preserve">Other Misc. </t>
  </si>
  <si>
    <t>Departmental Income</t>
  </si>
  <si>
    <t>Other Prop. &amp; Mort. Taxes</t>
  </si>
  <si>
    <t xml:space="preserve">Total Revenue </t>
  </si>
  <si>
    <t xml:space="preserve">Fund Balance App. </t>
  </si>
  <si>
    <t>Expenditures</t>
  </si>
  <si>
    <t>Total Expenditures</t>
  </si>
  <si>
    <t>Budget Surplus  (Deficit)</t>
  </si>
  <si>
    <t>Metered Water Sales</t>
  </si>
  <si>
    <t>Sewer Rents</t>
  </si>
  <si>
    <t>Town Costs</t>
  </si>
  <si>
    <t>Water Rate Increase</t>
  </si>
  <si>
    <t>Sewer Rate Increase</t>
  </si>
  <si>
    <t>Property Tax Levy Increase</t>
  </si>
  <si>
    <t>General Fund Projections, FY 2022 - FY 2032</t>
  </si>
  <si>
    <t>Water Fund Projections, FY 2022 - FY 2032</t>
  </si>
  <si>
    <t>Sewer Fund Projections, FY 2022 - FY 2032</t>
  </si>
  <si>
    <t>Property Tax Increase  Required to Break Even</t>
  </si>
  <si>
    <t>Water Rate Increase Required to Break Even</t>
  </si>
  <si>
    <t>Refuse Fund Projections, FY 2022 - FY 2032</t>
  </si>
  <si>
    <t>Refuse User Charges</t>
  </si>
  <si>
    <t>Refuse Rate Increase Required to Break Even</t>
  </si>
  <si>
    <t>Sewer Rate Increase Required to Break Even</t>
  </si>
  <si>
    <t>Refuse Rate Increase</t>
  </si>
  <si>
    <t>Projected Health Inflation</t>
  </si>
  <si>
    <t>2022 (Reference)</t>
  </si>
  <si>
    <r>
      <rPr>
        <b/>
        <sz val="20"/>
        <color theme="1"/>
        <rFont val="Calibri"/>
        <family val="2"/>
        <scheme val="minor"/>
      </rPr>
      <t>City of Lockport FY 2022 to FY 2032 Projections Model</t>
    </r>
    <r>
      <rPr>
        <sz val="20"/>
        <color theme="1"/>
        <rFont val="Calibri"/>
        <family val="2"/>
        <scheme val="minor"/>
      </rPr>
      <t xml:space="preserve">      </t>
    </r>
    <r>
      <rPr>
        <sz val="11"/>
        <color theme="1"/>
        <rFont val="Calibri"/>
        <family val="2"/>
        <scheme val="minor"/>
      </rPr>
      <t xml:space="preserve">                                                                                                                                                                                                                                                                                                                                                                                                                                                                                                                                       To use, alter 'Model Inputs' below (all values can be modified). Inputs will alters cells and values throughout the projections for each applicable fund.  Some notes: (1) COLA values in blue are extrapolated from the current union agreements and are not ratified figures. (2) Average inflation is taken from the Congressional Budget Office for US Congress 'Budget and Economic Data' set. (3) Debt repayments for short-term financing for sewer fund projects is estimated and meant to provide an illustrative example, not exact figures. (4) The distribution of employees' steps is assumed to be the same each year. This will shift as the active workforce's average employment time shortens and lengthens. (5) Values displayed to 'Break Even' are based on the prior year accumulation. For example, a break-even value showed as 1% for 2024. If prior year alterations are made to the input values, the break-even figure for 2024 will increase, as the percentage increase starting point (the revenue for the prior year) is now lower. (6) Fund Balance utilization from 2022 is reduced to $45k in 2023 for the comprehensive plan only.  (7) Plus values on left side of the screen will expand and shorten projections tables for your convenience.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</si>
</sst>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i/>
      <sz val="11"/>
      <color theme="1"/>
      <name val="Calibri"/>
      <family val="2"/>
      <scheme val="minor"/>
    </font>
    <font>
      <b/>
      <u/>
      <sz val="16"/>
      <color theme="1"/>
      <name val="Calibri"/>
      <family val="2"/>
      <scheme val="minor"/>
    </font>
    <font>
      <b/>
      <i/>
      <sz val="10"/>
      <color theme="1"/>
      <name val="Calibri"/>
      <family val="2"/>
      <scheme val="minor"/>
    </font>
    <font>
      <b/>
      <sz val="10"/>
      <color theme="1"/>
      <name val="Calibri"/>
      <family val="2"/>
      <scheme val="minor"/>
    </font>
    <font>
      <sz val="2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99">
    <xf numFmtId="0" fontId="0" fillId="0" borderId="0" xfId="0"/>
    <xf numFmtId="164" fontId="0" fillId="0" borderId="0" xfId="2" applyNumberFormat="1" applyFont="1"/>
    <xf numFmtId="164" fontId="0" fillId="0" borderId="0" xfId="0" applyNumberFormat="1"/>
    <xf numFmtId="165" fontId="1" fillId="0" borderId="1" xfId="3" applyNumberFormat="1" applyFont="1" applyBorder="1" applyAlignment="1">
      <alignment horizontal="center" vertical="center"/>
    </xf>
    <xf numFmtId="0" fontId="2" fillId="2" borderId="1" xfId="1" applyNumberFormat="1" applyFont="1" applyFill="1" applyBorder="1" applyAlignment="1">
      <alignment horizontal="center" vertical="center"/>
    </xf>
    <xf numFmtId="165" fontId="0" fillId="0" borderId="1" xfId="3" applyNumberFormat="1" applyFont="1" applyBorder="1" applyAlignment="1">
      <alignment horizontal="center" vertical="center"/>
    </xf>
    <xf numFmtId="165" fontId="0" fillId="0" borderId="1" xfId="3" applyNumberFormat="1" applyFont="1" applyFill="1" applyBorder="1" applyAlignment="1">
      <alignment horizontal="center" vertical="center"/>
    </xf>
    <xf numFmtId="10" fontId="0" fillId="0" borderId="1" xfId="0" applyNumberFormat="1" applyBorder="1" applyAlignment="1">
      <alignment horizontal="center" vertical="center"/>
    </xf>
    <xf numFmtId="165" fontId="0" fillId="0" borderId="1" xfId="0" applyNumberFormat="1" applyBorder="1" applyAlignment="1">
      <alignment horizontal="center" vertical="center"/>
    </xf>
    <xf numFmtId="43" fontId="0" fillId="0" borderId="1" xfId="1" applyFont="1" applyBorder="1" applyAlignment="1">
      <alignment horizontal="center" vertical="center"/>
    </xf>
    <xf numFmtId="165" fontId="0" fillId="3" borderId="1" xfId="3" applyNumberFormat="1" applyFont="1" applyFill="1" applyBorder="1" applyAlignment="1">
      <alignment horizontal="center" vertical="center"/>
    </xf>
    <xf numFmtId="165" fontId="1" fillId="3" borderId="1" xfId="3" applyNumberFormat="1" applyFont="1" applyFill="1" applyBorder="1" applyAlignment="1">
      <alignment horizontal="center" vertical="center"/>
    </xf>
    <xf numFmtId="165" fontId="6" fillId="0" borderId="1" xfId="3" applyNumberFormat="1" applyFont="1" applyBorder="1" applyAlignment="1">
      <alignment horizontal="center" vertical="center"/>
    </xf>
    <xf numFmtId="165" fontId="6" fillId="0" borderId="1" xfId="3" applyNumberFormat="1" applyFont="1" applyFill="1" applyBorder="1" applyAlignment="1">
      <alignment horizontal="center" vertical="center"/>
    </xf>
    <xf numFmtId="165" fontId="6" fillId="3" borderId="1" xfId="3" applyNumberFormat="1" applyFont="1" applyFill="1" applyBorder="1" applyAlignment="1">
      <alignment horizontal="center" vertical="center"/>
    </xf>
    <xf numFmtId="10" fontId="6" fillId="0" borderId="1" xfId="0" applyNumberFormat="1" applyFont="1" applyBorder="1" applyAlignment="1">
      <alignment horizontal="center" vertical="center"/>
    </xf>
    <xf numFmtId="43" fontId="6" fillId="0" borderId="1" xfId="1" applyFont="1" applyBorder="1" applyAlignment="1">
      <alignment horizontal="center" vertical="center"/>
    </xf>
    <xf numFmtId="0" fontId="2" fillId="0" borderId="0" xfId="1" applyNumberFormat="1" applyFont="1" applyBorder="1" applyAlignment="1">
      <alignment horizontal="center" vertical="center"/>
    </xf>
    <xf numFmtId="0" fontId="2" fillId="0" borderId="7" xfId="1" applyNumberFormat="1" applyFont="1" applyBorder="1" applyAlignment="1">
      <alignment horizontal="center" vertical="center"/>
    </xf>
    <xf numFmtId="0" fontId="0" fillId="0" borderId="6" xfId="0" applyBorder="1"/>
    <xf numFmtId="0" fontId="2" fillId="2" borderId="13" xfId="0" applyFont="1" applyFill="1" applyBorder="1" applyAlignment="1">
      <alignment horizontal="right" vertical="center"/>
    </xf>
    <xf numFmtId="0" fontId="2" fillId="2" borderId="14" xfId="1" applyNumberFormat="1" applyFont="1" applyFill="1" applyBorder="1" applyAlignment="1">
      <alignment horizontal="center" vertical="center"/>
    </xf>
    <xf numFmtId="165" fontId="0" fillId="3" borderId="14" xfId="3" applyNumberFormat="1" applyFont="1" applyFill="1" applyBorder="1" applyAlignment="1">
      <alignment horizontal="center" vertical="center"/>
    </xf>
    <xf numFmtId="165" fontId="1" fillId="3" borderId="14" xfId="3" applyNumberFormat="1" applyFont="1" applyFill="1" applyBorder="1" applyAlignment="1">
      <alignment horizontal="center" vertical="center"/>
    </xf>
    <xf numFmtId="0" fontId="0" fillId="2" borderId="6" xfId="0" applyFill="1" applyBorder="1" applyAlignment="1">
      <alignment horizontal="right" vertical="center"/>
    </xf>
    <xf numFmtId="164" fontId="6" fillId="0" borderId="0" xfId="2" applyNumberFormat="1"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10" fontId="0" fillId="0" borderId="14" xfId="0" applyNumberFormat="1" applyBorder="1" applyAlignment="1">
      <alignment horizontal="center" vertical="center"/>
    </xf>
    <xf numFmtId="165" fontId="0" fillId="0" borderId="14" xfId="0" applyNumberFormat="1" applyBorder="1" applyAlignment="1">
      <alignment horizontal="center" vertical="center"/>
    </xf>
    <xf numFmtId="0" fontId="2" fillId="2" borderId="6" xfId="0" applyFont="1" applyFill="1" applyBorder="1" applyAlignment="1">
      <alignment horizontal="right" vertical="center"/>
    </xf>
    <xf numFmtId="164" fontId="0" fillId="0" borderId="0" xfId="2" applyNumberFormat="1" applyFont="1" applyBorder="1" applyAlignment="1">
      <alignment horizontal="center" vertical="center"/>
    </xf>
    <xf numFmtId="165" fontId="0" fillId="0" borderId="14" xfId="3" applyNumberFormat="1" applyFont="1" applyBorder="1" applyAlignment="1">
      <alignment horizontal="center" vertical="center"/>
    </xf>
    <xf numFmtId="165" fontId="1" fillId="0" borderId="14" xfId="3" applyNumberFormat="1" applyFont="1" applyBorder="1" applyAlignment="1">
      <alignment horizontal="center" vertical="center"/>
    </xf>
    <xf numFmtId="0" fontId="3" fillId="0" borderId="6" xfId="4" applyBorder="1"/>
    <xf numFmtId="165" fontId="6" fillId="0" borderId="0" xfId="3" applyNumberFormat="1" applyFont="1" applyBorder="1" applyAlignment="1">
      <alignment horizontal="center" vertical="center"/>
    </xf>
    <xf numFmtId="165" fontId="0" fillId="0" borderId="0" xfId="3" applyNumberFormat="1" applyFont="1" applyBorder="1" applyAlignment="1">
      <alignment horizontal="center" vertical="center"/>
    </xf>
    <xf numFmtId="164" fontId="7" fillId="0" borderId="0" xfId="2" applyNumberFormat="1" applyFont="1" applyBorder="1" applyAlignment="1">
      <alignment horizontal="center" vertical="center"/>
    </xf>
    <xf numFmtId="164" fontId="0" fillId="0" borderId="7" xfId="2" applyNumberFormat="1" applyFont="1" applyBorder="1" applyAlignment="1">
      <alignment horizontal="center" vertical="center"/>
    </xf>
    <xf numFmtId="164" fontId="2" fillId="0" borderId="0" xfId="2" applyNumberFormat="1" applyFont="1" applyBorder="1" applyAlignment="1">
      <alignment horizontal="center" vertical="center"/>
    </xf>
    <xf numFmtId="164" fontId="2" fillId="0" borderId="7" xfId="2" applyNumberFormat="1" applyFont="1" applyBorder="1" applyAlignment="1">
      <alignment horizontal="center" vertical="center"/>
    </xf>
    <xf numFmtId="165" fontId="2" fillId="0" borderId="0" xfId="3" applyNumberFormat="1" applyFont="1" applyBorder="1" applyAlignment="1">
      <alignment horizontal="center" vertical="center"/>
    </xf>
    <xf numFmtId="165" fontId="2" fillId="0" borderId="7" xfId="3" applyNumberFormat="1" applyFont="1" applyBorder="1" applyAlignment="1">
      <alignment horizontal="center" vertical="center"/>
    </xf>
    <xf numFmtId="164" fontId="0" fillId="0" borderId="0" xfId="0" applyNumberFormat="1" applyBorder="1" applyAlignment="1">
      <alignment horizontal="center" vertical="center"/>
    </xf>
    <xf numFmtId="164" fontId="0" fillId="0" borderId="7" xfId="0" applyNumberFormat="1" applyBorder="1" applyAlignment="1">
      <alignment horizontal="center" vertical="center"/>
    </xf>
    <xf numFmtId="44" fontId="0" fillId="0" borderId="0" xfId="2" applyFont="1" applyBorder="1" applyAlignment="1">
      <alignment horizontal="center" vertical="center"/>
    </xf>
    <xf numFmtId="44" fontId="0" fillId="0" borderId="7" xfId="2" applyFont="1" applyBorder="1" applyAlignment="1">
      <alignment horizontal="center" vertical="center"/>
    </xf>
    <xf numFmtId="44" fontId="6" fillId="0" borderId="0" xfId="2" applyFont="1" applyBorder="1" applyAlignment="1">
      <alignment horizontal="center" vertical="center"/>
    </xf>
    <xf numFmtId="0" fontId="2" fillId="2" borderId="6" xfId="0" applyFont="1" applyFill="1" applyBorder="1"/>
    <xf numFmtId="164" fontId="0" fillId="2" borderId="0" xfId="2" applyNumberFormat="1" applyFont="1" applyFill="1" applyBorder="1"/>
    <xf numFmtId="0" fontId="0" fillId="2" borderId="0" xfId="0" applyFill="1" applyBorder="1"/>
    <xf numFmtId="0" fontId="0" fillId="2" borderId="7" xfId="0" applyFill="1" applyBorder="1"/>
    <xf numFmtId="0" fontId="2" fillId="2" borderId="0" xfId="1" applyNumberFormat="1" applyFont="1" applyFill="1" applyBorder="1" applyAlignment="1">
      <alignment horizontal="center" vertical="center"/>
    </xf>
    <xf numFmtId="0" fontId="2" fillId="2" borderId="7" xfId="1" applyNumberFormat="1" applyFont="1" applyFill="1" applyBorder="1" applyAlignment="1">
      <alignment horizontal="center" vertical="center"/>
    </xf>
    <xf numFmtId="0" fontId="0" fillId="2" borderId="6" xfId="0" applyFont="1" applyFill="1" applyBorder="1" applyAlignment="1">
      <alignment horizontal="left" indent="4"/>
    </xf>
    <xf numFmtId="164" fontId="0" fillId="2" borderId="7" xfId="2" applyNumberFormat="1" applyFont="1" applyFill="1" applyBorder="1"/>
    <xf numFmtId="0" fontId="2" fillId="2" borderId="6" xfId="0" applyFont="1" applyFill="1" applyBorder="1" applyAlignment="1">
      <alignment horizontal="left" indent="2"/>
    </xf>
    <xf numFmtId="164" fontId="2" fillId="2" borderId="0" xfId="2" applyNumberFormat="1" applyFont="1" applyFill="1" applyBorder="1"/>
    <xf numFmtId="164" fontId="2" fillId="2" borderId="7" xfId="2" applyNumberFormat="1" applyFont="1" applyFill="1" applyBorder="1"/>
    <xf numFmtId="0" fontId="0" fillId="2" borderId="6" xfId="0" applyFill="1" applyBorder="1" applyAlignment="1">
      <alignment horizontal="left" indent="5"/>
    </xf>
    <xf numFmtId="0" fontId="0" fillId="2" borderId="6" xfId="0" applyFill="1" applyBorder="1"/>
    <xf numFmtId="0" fontId="2" fillId="2" borderId="6" xfId="0" applyFont="1" applyFill="1" applyBorder="1" applyAlignment="1">
      <alignment horizontal="left" indent="5"/>
    </xf>
    <xf numFmtId="0" fontId="2" fillId="2" borderId="8" xfId="0" applyFont="1" applyFill="1" applyBorder="1" applyAlignment="1">
      <alignment horizontal="left" indent="5"/>
    </xf>
    <xf numFmtId="164" fontId="2" fillId="2" borderId="2" xfId="2" applyNumberFormat="1" applyFont="1" applyFill="1" applyBorder="1"/>
    <xf numFmtId="164" fontId="2" fillId="2" borderId="9" xfId="2" applyNumberFormat="1" applyFont="1" applyFill="1" applyBorder="1"/>
    <xf numFmtId="0" fontId="0" fillId="2" borderId="8" xfId="0" applyFill="1" applyBorder="1"/>
    <xf numFmtId="164" fontId="0" fillId="2" borderId="2" xfId="2" applyNumberFormat="1" applyFont="1" applyFill="1" applyBorder="1"/>
    <xf numFmtId="0" fontId="0" fillId="2" borderId="2" xfId="0" applyFill="1" applyBorder="1"/>
    <xf numFmtId="0" fontId="0" fillId="2" borderId="9" xfId="0" applyFill="1" applyBorder="1"/>
    <xf numFmtId="0" fontId="0" fillId="0" borderId="0" xfId="0" applyFill="1" applyBorder="1"/>
    <xf numFmtId="164" fontId="0" fillId="0" borderId="0" xfId="2" applyNumberFormat="1" applyFont="1" applyFill="1" applyBorder="1"/>
    <xf numFmtId="0" fontId="9" fillId="2" borderId="10" xfId="0" applyFont="1" applyFill="1" applyBorder="1" applyAlignment="1">
      <alignment horizontal="left" indent="5"/>
    </xf>
    <xf numFmtId="164" fontId="9" fillId="2" borderId="11" xfId="2" applyNumberFormat="1" applyFont="1" applyFill="1" applyBorder="1"/>
    <xf numFmtId="10" fontId="9" fillId="2" borderId="11" xfId="3" applyNumberFormat="1" applyFont="1" applyFill="1" applyBorder="1"/>
    <xf numFmtId="10" fontId="9" fillId="2" borderId="12" xfId="3" applyNumberFormat="1" applyFont="1" applyFill="1" applyBorder="1"/>
    <xf numFmtId="0" fontId="0" fillId="2" borderId="6" xfId="0" applyFont="1" applyFill="1" applyBorder="1" applyAlignment="1">
      <alignment horizontal="left" indent="2"/>
    </xf>
    <xf numFmtId="0" fontId="4" fillId="2" borderId="0" xfId="1" applyNumberFormat="1" applyFont="1" applyFill="1" applyBorder="1" applyAlignment="1">
      <alignment horizontal="center" vertical="center"/>
    </xf>
    <xf numFmtId="0" fontId="4" fillId="2" borderId="7" xfId="1" applyNumberFormat="1" applyFont="1" applyFill="1" applyBorder="1" applyAlignment="1">
      <alignment horizontal="center" vertical="center"/>
    </xf>
    <xf numFmtId="164" fontId="5" fillId="2" borderId="0" xfId="2" applyNumberFormat="1" applyFont="1" applyFill="1" applyBorder="1"/>
    <xf numFmtId="0" fontId="5" fillId="2" borderId="0" xfId="0" applyFont="1" applyFill="1" applyBorder="1"/>
    <xf numFmtId="0" fontId="5" fillId="2" borderId="7" xfId="0" applyFont="1" applyFill="1" applyBorder="1"/>
    <xf numFmtId="0" fontId="10" fillId="2" borderId="1" xfId="1" applyNumberFormat="1" applyFont="1" applyFill="1" applyBorder="1" applyAlignment="1">
      <alignment horizontal="center" vertical="center"/>
    </xf>
    <xf numFmtId="165" fontId="6" fillId="0" borderId="15" xfId="3" applyNumberFormat="1" applyFont="1" applyBorder="1" applyAlignment="1">
      <alignment horizontal="center" vertical="center"/>
    </xf>
    <xf numFmtId="165" fontId="0" fillId="4" borderId="1" xfId="3" applyNumberFormat="1" applyFont="1" applyFill="1" applyBorder="1" applyAlignment="1">
      <alignment horizontal="center" vertical="center"/>
    </xf>
    <xf numFmtId="165" fontId="0" fillId="4" borderId="14" xfId="3" applyNumberFormat="1" applyFont="1" applyFill="1" applyBorder="1" applyAlignment="1">
      <alignment horizontal="center" vertical="center"/>
    </xf>
    <xf numFmtId="165" fontId="0" fillId="4" borderId="15" xfId="3" applyNumberFormat="1" applyFont="1" applyFill="1" applyBorder="1" applyAlignment="1">
      <alignment horizontal="center" vertical="center"/>
    </xf>
    <xf numFmtId="165" fontId="0" fillId="4" borderId="16" xfId="3" applyNumberFormat="1" applyFont="1" applyFill="1" applyBorder="1" applyAlignment="1">
      <alignment horizontal="center" vertical="center"/>
    </xf>
    <xf numFmtId="0" fontId="0" fillId="0" borderId="0" xfId="0" applyAlignment="1">
      <alignment wrapText="1"/>
    </xf>
    <xf numFmtId="0" fontId="0" fillId="0" borderId="6" xfId="0" applyBorder="1" applyAlignment="1"/>
    <xf numFmtId="0" fontId="0" fillId="0" borderId="0" xfId="0" applyAlignment="1"/>
    <xf numFmtId="0" fontId="0" fillId="0" borderId="0" xfId="0" applyAlignment="1">
      <alignment horizontal="center" vertical="top" wrapText="1"/>
    </xf>
    <xf numFmtId="0" fontId="0" fillId="0" borderId="11" xfId="0" applyBorder="1" applyAlignment="1">
      <alignment horizontal="center" vertical="top"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8" fillId="2" borderId="5" xfId="0" applyFont="1" applyFill="1" applyBorder="1" applyAlignment="1">
      <alignment horizontal="center" wrapText="1"/>
    </xf>
    <xf numFmtId="0" fontId="0" fillId="0" borderId="7" xfId="0"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cellXfs>
  <cellStyles count="5">
    <cellStyle name="Comma" xfId="1" builtinId="3"/>
    <cellStyle name="Currency" xfId="2" builtinId="4"/>
    <cellStyle name="Hyperlink" xfId="4" builtinId="8"/>
    <cellStyle name="Normal" xfId="0" builtinId="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data/budget-economic-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39"/>
  <sheetViews>
    <sheetView showGridLines="0" tabSelected="1" topLeftCell="A106" zoomScale="80" zoomScaleNormal="80" workbookViewId="0">
      <selection activeCell="L162" sqref="L162"/>
    </sheetView>
  </sheetViews>
  <sheetFormatPr defaultRowHeight="15" outlineLevelRow="1" x14ac:dyDescent="0.25"/>
  <cols>
    <col min="2" max="2" width="30.7109375" customWidth="1"/>
    <col min="3" max="3" width="15.28515625" style="1" bestFit="1" customWidth="1"/>
    <col min="4" max="13" width="14.28515625" bestFit="1" customWidth="1"/>
    <col min="17" max="17" width="11" customWidth="1"/>
  </cols>
  <sheetData>
    <row r="2" spans="2:24" x14ac:dyDescent="0.25">
      <c r="B2" s="90" t="s">
        <v>80</v>
      </c>
      <c r="C2" s="90"/>
      <c r="D2" s="90"/>
      <c r="E2" s="90"/>
      <c r="F2" s="90"/>
      <c r="G2" s="90"/>
      <c r="H2" s="90"/>
      <c r="I2" s="90"/>
      <c r="J2" s="90"/>
      <c r="K2" s="90"/>
      <c r="L2" s="90"/>
      <c r="M2" s="90"/>
    </row>
    <row r="3" spans="2:24" x14ac:dyDescent="0.25">
      <c r="B3" s="90"/>
      <c r="C3" s="90"/>
      <c r="D3" s="90"/>
      <c r="E3" s="90"/>
      <c r="F3" s="90"/>
      <c r="G3" s="90"/>
      <c r="H3" s="90"/>
      <c r="I3" s="90"/>
      <c r="J3" s="90"/>
      <c r="K3" s="90"/>
      <c r="L3" s="90"/>
      <c r="M3" s="90"/>
    </row>
    <row r="4" spans="2:24" x14ac:dyDescent="0.25">
      <c r="B4" s="90"/>
      <c r="C4" s="90"/>
      <c r="D4" s="90"/>
      <c r="E4" s="90"/>
      <c r="F4" s="90"/>
      <c r="G4" s="90"/>
      <c r="H4" s="90"/>
      <c r="I4" s="90"/>
      <c r="J4" s="90"/>
      <c r="K4" s="90"/>
      <c r="L4" s="90"/>
      <c r="M4" s="90"/>
    </row>
    <row r="5" spans="2:24" x14ac:dyDescent="0.25">
      <c r="B5" s="90"/>
      <c r="C5" s="90"/>
      <c r="D5" s="90"/>
      <c r="E5" s="90"/>
      <c r="F5" s="90"/>
      <c r="G5" s="90"/>
      <c r="H5" s="90"/>
      <c r="I5" s="90"/>
      <c r="J5" s="90"/>
      <c r="K5" s="90"/>
      <c r="L5" s="90"/>
      <c r="M5" s="90"/>
    </row>
    <row r="6" spans="2:24" x14ac:dyDescent="0.25">
      <c r="B6" s="90"/>
      <c r="C6" s="90"/>
      <c r="D6" s="90"/>
      <c r="E6" s="90"/>
      <c r="F6" s="90"/>
      <c r="G6" s="90"/>
      <c r="H6" s="90"/>
      <c r="I6" s="90"/>
      <c r="J6" s="90"/>
      <c r="K6" s="90"/>
      <c r="L6" s="90"/>
      <c r="M6" s="90"/>
    </row>
    <row r="7" spans="2:24" x14ac:dyDescent="0.25">
      <c r="B7" s="90"/>
      <c r="C7" s="90"/>
      <c r="D7" s="90"/>
      <c r="E7" s="90"/>
      <c r="F7" s="90"/>
      <c r="G7" s="90"/>
      <c r="H7" s="90"/>
      <c r="I7" s="90"/>
      <c r="J7" s="90"/>
      <c r="K7" s="90"/>
      <c r="L7" s="90"/>
      <c r="M7" s="90"/>
    </row>
    <row r="8" spans="2:24" x14ac:dyDescent="0.25">
      <c r="B8" s="90"/>
      <c r="C8" s="90"/>
      <c r="D8" s="90"/>
      <c r="E8" s="90"/>
      <c r="F8" s="90"/>
      <c r="G8" s="90"/>
      <c r="H8" s="90"/>
      <c r="I8" s="90"/>
      <c r="J8" s="90"/>
      <c r="K8" s="90"/>
      <c r="L8" s="90"/>
      <c r="M8" s="90"/>
    </row>
    <row r="9" spans="2:24" ht="36.75" customHeight="1" thickBot="1" x14ac:dyDescent="0.3">
      <c r="B9" s="91"/>
      <c r="C9" s="91"/>
      <c r="D9" s="91"/>
      <c r="E9" s="91"/>
      <c r="F9" s="91"/>
      <c r="G9" s="91"/>
      <c r="H9" s="91"/>
      <c r="I9" s="91"/>
      <c r="J9" s="91"/>
      <c r="K9" s="91"/>
      <c r="L9" s="91"/>
      <c r="M9" s="91"/>
    </row>
    <row r="10" spans="2:24" x14ac:dyDescent="0.25">
      <c r="B10" s="96" t="s">
        <v>39</v>
      </c>
      <c r="C10" s="97"/>
      <c r="D10" s="97"/>
      <c r="E10" s="97"/>
      <c r="F10" s="97"/>
      <c r="G10" s="97"/>
      <c r="H10" s="97"/>
      <c r="I10" s="97"/>
      <c r="J10" s="97"/>
      <c r="K10" s="97"/>
      <c r="L10" s="97"/>
      <c r="M10" s="98"/>
      <c r="O10" s="87"/>
      <c r="P10" s="87"/>
      <c r="Q10" s="87"/>
      <c r="R10" s="87"/>
      <c r="S10" s="87"/>
      <c r="T10" s="87"/>
      <c r="U10" s="87"/>
      <c r="V10" s="87"/>
      <c r="W10" s="87"/>
      <c r="X10" s="87"/>
    </row>
    <row r="11" spans="2:24" x14ac:dyDescent="0.25">
      <c r="B11" s="20" t="s">
        <v>49</v>
      </c>
      <c r="C11" s="81" t="s">
        <v>79</v>
      </c>
      <c r="D11" s="4">
        <v>2023</v>
      </c>
      <c r="E11" s="4">
        <v>2024</v>
      </c>
      <c r="F11" s="4">
        <v>2025</v>
      </c>
      <c r="G11" s="4">
        <v>2026</v>
      </c>
      <c r="H11" s="4">
        <v>2027</v>
      </c>
      <c r="I11" s="4">
        <v>2028</v>
      </c>
      <c r="J11" s="4">
        <v>2029</v>
      </c>
      <c r="K11" s="4">
        <v>2030</v>
      </c>
      <c r="L11" s="4">
        <v>2031</v>
      </c>
      <c r="M11" s="21">
        <v>2032</v>
      </c>
      <c r="O11" s="87"/>
      <c r="P11" s="87"/>
      <c r="Q11" s="87"/>
      <c r="R11" s="87"/>
      <c r="S11" s="87"/>
      <c r="T11" s="87"/>
      <c r="U11" s="87"/>
      <c r="V11" s="87"/>
      <c r="W11" s="87"/>
      <c r="X11" s="87"/>
    </row>
    <row r="12" spans="2:24" x14ac:dyDescent="0.25">
      <c r="B12" s="20" t="s">
        <v>43</v>
      </c>
      <c r="C12" s="12">
        <v>2.5000000000000001E-2</v>
      </c>
      <c r="D12" s="5">
        <v>2.5000000000000001E-2</v>
      </c>
      <c r="E12" s="5">
        <v>0.02</v>
      </c>
      <c r="F12" s="5">
        <v>0.02</v>
      </c>
      <c r="G12" s="5">
        <v>0.02</v>
      </c>
      <c r="H12" s="10">
        <v>0.02</v>
      </c>
      <c r="I12" s="10">
        <v>0.02</v>
      </c>
      <c r="J12" s="10">
        <v>0.02</v>
      </c>
      <c r="K12" s="10">
        <v>0.02</v>
      </c>
      <c r="L12" s="10">
        <v>0.02</v>
      </c>
      <c r="M12" s="22">
        <v>0.02</v>
      </c>
      <c r="O12" s="87"/>
      <c r="P12" s="87"/>
      <c r="Q12" s="87"/>
      <c r="R12" s="87"/>
      <c r="S12" s="87"/>
      <c r="T12" s="87"/>
      <c r="U12" s="87"/>
      <c r="V12" s="87"/>
      <c r="W12" s="87"/>
      <c r="X12" s="87"/>
    </row>
    <row r="13" spans="2:24" x14ac:dyDescent="0.25">
      <c r="B13" s="20" t="s">
        <v>44</v>
      </c>
      <c r="C13" s="13">
        <v>0.02</v>
      </c>
      <c r="D13" s="6">
        <v>0.02</v>
      </c>
      <c r="E13" s="6">
        <v>0.02</v>
      </c>
      <c r="F13" s="6">
        <v>0.02</v>
      </c>
      <c r="G13" s="6">
        <v>0.02</v>
      </c>
      <c r="H13" s="10">
        <v>0.02</v>
      </c>
      <c r="I13" s="10">
        <v>0.02</v>
      </c>
      <c r="J13" s="10">
        <v>0.02</v>
      </c>
      <c r="K13" s="10">
        <v>0.02</v>
      </c>
      <c r="L13" s="10">
        <v>0.02</v>
      </c>
      <c r="M13" s="22">
        <v>0.02</v>
      </c>
      <c r="O13" s="87"/>
      <c r="P13" s="87"/>
      <c r="Q13" s="87"/>
      <c r="R13" s="87"/>
      <c r="S13" s="87"/>
      <c r="T13" s="87"/>
      <c r="U13" s="87"/>
      <c r="V13" s="87"/>
      <c r="W13" s="87"/>
      <c r="X13" s="87"/>
    </row>
    <row r="14" spans="2:24" x14ac:dyDescent="0.25">
      <c r="B14" s="20" t="s">
        <v>45</v>
      </c>
      <c r="C14" s="12">
        <v>1.4999999999999999E-2</v>
      </c>
      <c r="D14" s="5">
        <v>0.02</v>
      </c>
      <c r="E14" s="5">
        <v>1.4999999999999999E-2</v>
      </c>
      <c r="F14" s="5">
        <v>0.02</v>
      </c>
      <c r="G14" s="5">
        <v>1.4999999999999999E-2</v>
      </c>
      <c r="H14" s="10">
        <v>0.02</v>
      </c>
      <c r="I14" s="10">
        <v>1.4999999999999999E-2</v>
      </c>
      <c r="J14" s="10">
        <v>0.02</v>
      </c>
      <c r="K14" s="10">
        <v>1.4999999999999999E-2</v>
      </c>
      <c r="L14" s="10">
        <v>1.4999999999999999E-2</v>
      </c>
      <c r="M14" s="22">
        <v>1.4999999999999999E-2</v>
      </c>
      <c r="O14" s="87"/>
      <c r="P14" s="87"/>
      <c r="Q14" s="87"/>
      <c r="R14" s="87"/>
      <c r="S14" s="87"/>
      <c r="T14" s="87"/>
      <c r="U14" s="87"/>
      <c r="V14" s="87"/>
      <c r="W14" s="87"/>
      <c r="X14" s="87"/>
    </row>
    <row r="15" spans="2:24" x14ac:dyDescent="0.25">
      <c r="B15" s="20" t="s">
        <v>46</v>
      </c>
      <c r="C15" s="12">
        <v>0.02</v>
      </c>
      <c r="D15" s="5">
        <v>1.4999999999999999E-2</v>
      </c>
      <c r="E15" s="5">
        <v>0.02</v>
      </c>
      <c r="F15" s="5">
        <v>1.4999999999999999E-2</v>
      </c>
      <c r="G15" s="5">
        <v>0.02</v>
      </c>
      <c r="H15" s="5">
        <v>1.4999999999999999E-2</v>
      </c>
      <c r="I15" s="5">
        <v>0.02</v>
      </c>
      <c r="J15" s="10">
        <v>1.4999999999999999E-2</v>
      </c>
      <c r="K15" s="10">
        <v>0.02</v>
      </c>
      <c r="L15" s="10">
        <v>0.02</v>
      </c>
      <c r="M15" s="22">
        <v>0.02</v>
      </c>
      <c r="O15" s="87"/>
      <c r="P15" s="87"/>
      <c r="Q15" s="87"/>
      <c r="R15" s="87"/>
      <c r="S15" s="87"/>
      <c r="T15" s="87"/>
      <c r="U15" s="87"/>
      <c r="V15" s="87"/>
      <c r="W15" s="87"/>
      <c r="X15" s="87"/>
    </row>
    <row r="16" spans="2:24" x14ac:dyDescent="0.25">
      <c r="B16" s="20" t="s">
        <v>47</v>
      </c>
      <c r="C16" s="12">
        <v>0.02</v>
      </c>
      <c r="D16" s="5">
        <v>0.02</v>
      </c>
      <c r="E16" s="11">
        <v>0.02</v>
      </c>
      <c r="F16" s="11">
        <v>0.02</v>
      </c>
      <c r="G16" s="11">
        <v>0.02</v>
      </c>
      <c r="H16" s="11">
        <v>0.02</v>
      </c>
      <c r="I16" s="11">
        <v>0.02</v>
      </c>
      <c r="J16" s="11">
        <v>0.02</v>
      </c>
      <c r="K16" s="11">
        <v>0.02</v>
      </c>
      <c r="L16" s="11">
        <v>0.02</v>
      </c>
      <c r="M16" s="23">
        <v>0.02</v>
      </c>
      <c r="O16" s="87"/>
      <c r="P16" s="87"/>
      <c r="Q16" s="87"/>
      <c r="R16" s="87"/>
      <c r="S16" s="87"/>
      <c r="T16" s="87"/>
      <c r="U16" s="87"/>
      <c r="V16" s="87"/>
      <c r="W16" s="87"/>
      <c r="X16" s="87"/>
    </row>
    <row r="17" spans="2:24" x14ac:dyDescent="0.25">
      <c r="B17" s="20" t="s">
        <v>48</v>
      </c>
      <c r="C17" s="14">
        <v>0</v>
      </c>
      <c r="D17" s="10">
        <v>0</v>
      </c>
      <c r="E17" s="10">
        <v>0</v>
      </c>
      <c r="F17" s="10">
        <v>0</v>
      </c>
      <c r="G17" s="10">
        <v>0</v>
      </c>
      <c r="H17" s="10">
        <v>0</v>
      </c>
      <c r="I17" s="10">
        <v>0</v>
      </c>
      <c r="J17" s="10">
        <v>0</v>
      </c>
      <c r="K17" s="10">
        <v>0</v>
      </c>
      <c r="L17" s="10">
        <v>0</v>
      </c>
      <c r="M17" s="22">
        <v>0</v>
      </c>
      <c r="O17" s="87"/>
      <c r="P17" s="87"/>
      <c r="Q17" s="87"/>
      <c r="R17" s="87"/>
      <c r="S17" s="87"/>
      <c r="T17" s="87"/>
      <c r="U17" s="87"/>
      <c r="V17" s="87"/>
      <c r="W17" s="87"/>
      <c r="X17" s="87"/>
    </row>
    <row r="18" spans="2:24" hidden="1" x14ac:dyDescent="0.25">
      <c r="B18" s="24"/>
      <c r="C18" s="25"/>
      <c r="D18" s="26"/>
      <c r="E18" s="26"/>
      <c r="F18" s="26"/>
      <c r="G18" s="26"/>
      <c r="H18" s="26"/>
      <c r="I18" s="26"/>
      <c r="J18" s="26"/>
      <c r="K18" s="26"/>
      <c r="L18" s="26"/>
      <c r="M18" s="27"/>
      <c r="O18" s="87"/>
      <c r="P18" s="87"/>
      <c r="Q18" s="87"/>
      <c r="R18" s="87"/>
      <c r="S18" s="87"/>
      <c r="T18" s="87"/>
      <c r="U18" s="87"/>
      <c r="V18" s="87"/>
      <c r="W18" s="87"/>
      <c r="X18" s="87"/>
    </row>
    <row r="19" spans="2:24" hidden="1" x14ac:dyDescent="0.25">
      <c r="B19" s="20" t="s">
        <v>42</v>
      </c>
      <c r="C19" s="15">
        <v>7.6499999999999999E-2</v>
      </c>
      <c r="D19" s="7">
        <f>C19</f>
        <v>7.6499999999999999E-2</v>
      </c>
      <c r="E19" s="7">
        <f t="shared" ref="E19:M19" si="0">D19</f>
        <v>7.6499999999999999E-2</v>
      </c>
      <c r="F19" s="7">
        <f t="shared" si="0"/>
        <v>7.6499999999999999E-2</v>
      </c>
      <c r="G19" s="7">
        <f t="shared" si="0"/>
        <v>7.6499999999999999E-2</v>
      </c>
      <c r="H19" s="7">
        <f t="shared" si="0"/>
        <v>7.6499999999999999E-2</v>
      </c>
      <c r="I19" s="7">
        <f t="shared" si="0"/>
        <v>7.6499999999999999E-2</v>
      </c>
      <c r="J19" s="7">
        <f t="shared" si="0"/>
        <v>7.6499999999999999E-2</v>
      </c>
      <c r="K19" s="7">
        <f t="shared" si="0"/>
        <v>7.6499999999999999E-2</v>
      </c>
      <c r="L19" s="7">
        <f t="shared" si="0"/>
        <v>7.6499999999999999E-2</v>
      </c>
      <c r="M19" s="28">
        <f t="shared" si="0"/>
        <v>7.6499999999999999E-2</v>
      </c>
      <c r="O19" s="87"/>
      <c r="P19" s="87"/>
      <c r="Q19" s="87"/>
      <c r="R19" s="87"/>
      <c r="S19" s="87"/>
      <c r="T19" s="87"/>
      <c r="U19" s="87"/>
      <c r="V19" s="87"/>
      <c r="W19" s="87"/>
      <c r="X19" s="87"/>
    </row>
    <row r="20" spans="2:24" x14ac:dyDescent="0.25">
      <c r="B20" s="20" t="s">
        <v>41</v>
      </c>
      <c r="C20" s="12">
        <v>0.27</v>
      </c>
      <c r="D20" s="8">
        <v>0.27</v>
      </c>
      <c r="E20" s="8">
        <f t="shared" ref="E20:M21" si="1">D20</f>
        <v>0.27</v>
      </c>
      <c r="F20" s="8">
        <f t="shared" si="1"/>
        <v>0.27</v>
      </c>
      <c r="G20" s="8">
        <f t="shared" si="1"/>
        <v>0.27</v>
      </c>
      <c r="H20" s="8">
        <f t="shared" si="1"/>
        <v>0.27</v>
      </c>
      <c r="I20" s="8">
        <f t="shared" si="1"/>
        <v>0.27</v>
      </c>
      <c r="J20" s="8">
        <f t="shared" si="1"/>
        <v>0.27</v>
      </c>
      <c r="K20" s="8">
        <f t="shared" si="1"/>
        <v>0.27</v>
      </c>
      <c r="L20" s="8">
        <f t="shared" si="1"/>
        <v>0.27</v>
      </c>
      <c r="M20" s="29">
        <f t="shared" si="1"/>
        <v>0.27</v>
      </c>
      <c r="O20" s="87"/>
      <c r="P20" s="87"/>
      <c r="Q20" s="87"/>
      <c r="R20" s="87"/>
      <c r="S20" s="87"/>
      <c r="T20" s="87"/>
      <c r="U20" s="87"/>
      <c r="V20" s="87"/>
      <c r="W20" s="87"/>
      <c r="X20" s="87"/>
    </row>
    <row r="21" spans="2:24" x14ac:dyDescent="0.25">
      <c r="B21" s="20" t="s">
        <v>9</v>
      </c>
      <c r="C21" s="12">
        <v>0.11600000000000001</v>
      </c>
      <c r="D21" s="8">
        <v>0.11600000000000001</v>
      </c>
      <c r="E21" s="8">
        <f>D21</f>
        <v>0.11600000000000001</v>
      </c>
      <c r="F21" s="8">
        <f t="shared" si="1"/>
        <v>0.11600000000000001</v>
      </c>
      <c r="G21" s="8">
        <f t="shared" si="1"/>
        <v>0.11600000000000001</v>
      </c>
      <c r="H21" s="8">
        <f t="shared" si="1"/>
        <v>0.11600000000000001</v>
      </c>
      <c r="I21" s="8">
        <f t="shared" si="1"/>
        <v>0.11600000000000001</v>
      </c>
      <c r="J21" s="8">
        <f t="shared" si="1"/>
        <v>0.11600000000000001</v>
      </c>
      <c r="K21" s="8">
        <f t="shared" si="1"/>
        <v>0.11600000000000001</v>
      </c>
      <c r="L21" s="8">
        <f t="shared" si="1"/>
        <v>0.11600000000000001</v>
      </c>
      <c r="M21" s="29">
        <f t="shared" si="1"/>
        <v>0.11600000000000001</v>
      </c>
      <c r="O21" s="87"/>
      <c r="P21" s="87"/>
      <c r="Q21" s="87"/>
      <c r="R21" s="87"/>
      <c r="S21" s="87"/>
      <c r="T21" s="87"/>
      <c r="U21" s="87"/>
      <c r="V21" s="87"/>
      <c r="W21" s="87"/>
      <c r="X21" s="87"/>
    </row>
    <row r="22" spans="2:24" hidden="1" x14ac:dyDescent="0.25">
      <c r="B22" s="30"/>
      <c r="C22" s="31"/>
      <c r="D22" s="26"/>
      <c r="E22" s="26"/>
      <c r="F22" s="26"/>
      <c r="G22" s="26"/>
      <c r="H22" s="26"/>
      <c r="I22" s="26"/>
      <c r="J22" s="26"/>
      <c r="K22" s="26"/>
      <c r="L22" s="26"/>
      <c r="M22" s="27"/>
      <c r="O22" s="87"/>
      <c r="P22" s="87"/>
      <c r="Q22" s="87"/>
      <c r="R22" s="87"/>
      <c r="S22" s="87"/>
      <c r="T22" s="87"/>
      <c r="U22" s="87"/>
      <c r="V22" s="87"/>
      <c r="W22" s="87"/>
      <c r="X22" s="87"/>
    </row>
    <row r="23" spans="2:24" x14ac:dyDescent="0.25">
      <c r="B23" s="20" t="s">
        <v>22</v>
      </c>
      <c r="C23" s="9">
        <v>0</v>
      </c>
      <c r="D23" s="5">
        <v>2.3E-2</v>
      </c>
      <c r="E23" s="5">
        <v>2.3E-2</v>
      </c>
      <c r="F23" s="5">
        <v>2.4E-2</v>
      </c>
      <c r="G23" s="5">
        <v>2.4E-2</v>
      </c>
      <c r="H23" s="5">
        <v>2.4E-2</v>
      </c>
      <c r="I23" s="5">
        <v>2.5000000000000001E-2</v>
      </c>
      <c r="J23" s="5">
        <v>2.4E-2</v>
      </c>
      <c r="K23" s="5">
        <v>2.4E-2</v>
      </c>
      <c r="L23" s="5">
        <v>2.3E-2</v>
      </c>
      <c r="M23" s="32">
        <v>2.3E-2</v>
      </c>
      <c r="O23" s="87"/>
      <c r="P23" s="87"/>
      <c r="Q23" s="87"/>
      <c r="R23" s="87"/>
      <c r="S23" s="87"/>
      <c r="T23" s="87"/>
      <c r="U23" s="87"/>
      <c r="V23" s="87"/>
      <c r="W23" s="87"/>
      <c r="X23" s="87"/>
    </row>
    <row r="24" spans="2:24" x14ac:dyDescent="0.25">
      <c r="B24" s="20" t="s">
        <v>24</v>
      </c>
      <c r="C24" s="9">
        <v>0</v>
      </c>
      <c r="D24" s="5">
        <v>0.02</v>
      </c>
      <c r="E24" s="5">
        <v>2.1000000000000001E-2</v>
      </c>
      <c r="F24" s="5">
        <v>2.1000000000000001E-2</v>
      </c>
      <c r="G24" s="5">
        <v>2.2000000000000002E-2</v>
      </c>
      <c r="H24" s="5">
        <v>2.2000000000000002E-2</v>
      </c>
      <c r="I24" s="5">
        <v>2.2000000000000002E-2</v>
      </c>
      <c r="J24" s="5">
        <v>2.1000000000000001E-2</v>
      </c>
      <c r="K24" s="5">
        <v>2.1000000000000001E-2</v>
      </c>
      <c r="L24" s="5">
        <v>2.1000000000000001E-2</v>
      </c>
      <c r="M24" s="32">
        <v>2.1000000000000001E-2</v>
      </c>
      <c r="O24" s="87"/>
      <c r="P24" s="87"/>
      <c r="Q24" s="87"/>
      <c r="R24" s="87"/>
      <c r="S24" s="87"/>
      <c r="T24" s="87"/>
      <c r="U24" s="87"/>
      <c r="V24" s="87"/>
      <c r="W24" s="87"/>
      <c r="X24" s="87"/>
    </row>
    <row r="25" spans="2:24" x14ac:dyDescent="0.25">
      <c r="B25" s="20" t="s">
        <v>40</v>
      </c>
      <c r="C25" s="16">
        <v>0</v>
      </c>
      <c r="D25" s="3">
        <f>AVERAGE(D23:D24)</f>
        <v>2.1499999999999998E-2</v>
      </c>
      <c r="E25" s="3">
        <f t="shared" ref="E25:M25" si="2">AVERAGE(E23:E24)</f>
        <v>2.1999999999999999E-2</v>
      </c>
      <c r="F25" s="3">
        <f t="shared" si="2"/>
        <v>2.2499999999999999E-2</v>
      </c>
      <c r="G25" s="3">
        <f t="shared" si="2"/>
        <v>2.3E-2</v>
      </c>
      <c r="H25" s="3">
        <f t="shared" si="2"/>
        <v>2.3E-2</v>
      </c>
      <c r="I25" s="3">
        <f t="shared" si="2"/>
        <v>2.35E-2</v>
      </c>
      <c r="J25" s="3">
        <f t="shared" si="2"/>
        <v>2.2499999999999999E-2</v>
      </c>
      <c r="K25" s="3">
        <f t="shared" si="2"/>
        <v>2.2499999999999999E-2</v>
      </c>
      <c r="L25" s="3">
        <f t="shared" si="2"/>
        <v>2.1999999999999999E-2</v>
      </c>
      <c r="M25" s="33">
        <f t="shared" si="2"/>
        <v>2.1999999999999999E-2</v>
      </c>
      <c r="O25" s="87"/>
      <c r="P25" s="87"/>
      <c r="Q25" s="87"/>
      <c r="R25" s="87"/>
      <c r="S25" s="87"/>
      <c r="T25" s="87"/>
      <c r="U25" s="87"/>
      <c r="V25" s="87"/>
      <c r="W25" s="87"/>
      <c r="X25" s="87"/>
    </row>
    <row r="26" spans="2:24" hidden="1" x14ac:dyDescent="0.25">
      <c r="B26" s="34" t="s">
        <v>23</v>
      </c>
      <c r="C26" s="35"/>
      <c r="D26" s="36"/>
      <c r="E26" s="36"/>
      <c r="F26" s="36"/>
      <c r="G26" s="36"/>
      <c r="H26" s="36"/>
      <c r="I26" s="36"/>
      <c r="J26" s="36"/>
      <c r="K26" s="36"/>
      <c r="L26" s="36"/>
      <c r="M26" s="27"/>
      <c r="O26" s="87"/>
      <c r="P26" s="87"/>
      <c r="Q26" s="87"/>
      <c r="R26" s="87"/>
      <c r="S26" s="87"/>
      <c r="T26" s="87"/>
      <c r="U26" s="87"/>
      <c r="V26" s="87"/>
      <c r="W26" s="87"/>
      <c r="X26" s="87"/>
    </row>
    <row r="27" spans="2:24" hidden="1" x14ac:dyDescent="0.25">
      <c r="B27" s="19"/>
      <c r="C27" s="25"/>
      <c r="D27" s="26"/>
      <c r="E27" s="26"/>
      <c r="F27" s="26"/>
      <c r="G27" s="26"/>
      <c r="H27" s="26"/>
      <c r="I27" s="26"/>
      <c r="J27" s="26"/>
      <c r="K27" s="26"/>
      <c r="L27" s="26"/>
      <c r="M27" s="27"/>
      <c r="O27" s="87"/>
      <c r="P27" s="87"/>
      <c r="Q27" s="87"/>
      <c r="R27" s="87"/>
      <c r="S27" s="87"/>
      <c r="T27" s="87"/>
      <c r="U27" s="87"/>
      <c r="V27" s="87"/>
      <c r="W27" s="87"/>
      <c r="X27" s="87"/>
    </row>
    <row r="28" spans="2:24" hidden="1" x14ac:dyDescent="0.25">
      <c r="B28" s="19"/>
      <c r="C28" s="25"/>
      <c r="D28" s="26"/>
      <c r="E28" s="26"/>
      <c r="F28" s="26"/>
      <c r="G28" s="26"/>
      <c r="H28" s="26"/>
      <c r="I28" s="26"/>
      <c r="J28" s="26"/>
      <c r="K28" s="26"/>
      <c r="L28" s="26"/>
      <c r="M28" s="27"/>
      <c r="O28" s="87"/>
      <c r="P28" s="87"/>
      <c r="Q28" s="87"/>
      <c r="R28" s="87"/>
      <c r="S28" s="87"/>
      <c r="T28" s="87"/>
      <c r="U28" s="87"/>
      <c r="V28" s="87"/>
      <c r="W28" s="87"/>
      <c r="X28" s="87"/>
    </row>
    <row r="29" spans="2:24" hidden="1" x14ac:dyDescent="0.25">
      <c r="B29" s="19"/>
      <c r="C29" s="25"/>
      <c r="D29" s="26"/>
      <c r="E29" s="26"/>
      <c r="F29" s="26"/>
      <c r="G29" s="26"/>
      <c r="H29" s="26"/>
      <c r="I29" s="26"/>
      <c r="J29" s="26"/>
      <c r="K29" s="26"/>
      <c r="L29" s="26"/>
      <c r="M29" s="27"/>
      <c r="O29" s="87"/>
      <c r="P29" s="87"/>
      <c r="Q29" s="87"/>
      <c r="R29" s="87"/>
      <c r="S29" s="87"/>
      <c r="T29" s="87"/>
      <c r="U29" s="87"/>
      <c r="V29" s="87"/>
      <c r="W29" s="87"/>
      <c r="X29" s="87"/>
    </row>
    <row r="30" spans="2:24" hidden="1" x14ac:dyDescent="0.25">
      <c r="B30" s="19"/>
      <c r="C30" s="25"/>
      <c r="D30" s="26"/>
      <c r="E30" s="26"/>
      <c r="F30" s="26"/>
      <c r="G30" s="26"/>
      <c r="H30" s="26"/>
      <c r="I30" s="26"/>
      <c r="J30" s="26"/>
      <c r="K30" s="26"/>
      <c r="L30" s="26"/>
      <c r="M30" s="27"/>
      <c r="O30" s="87"/>
      <c r="P30" s="87"/>
      <c r="Q30" s="87"/>
      <c r="R30" s="87"/>
      <c r="S30" s="87"/>
      <c r="T30" s="87"/>
      <c r="U30" s="87"/>
      <c r="V30" s="87"/>
      <c r="W30" s="87"/>
      <c r="X30" s="87"/>
    </row>
    <row r="31" spans="2:24" hidden="1" x14ac:dyDescent="0.25">
      <c r="B31" s="19"/>
      <c r="C31" s="37">
        <v>2022</v>
      </c>
      <c r="D31" s="17">
        <v>2023</v>
      </c>
      <c r="E31" s="17">
        <v>2024</v>
      </c>
      <c r="F31" s="17">
        <v>2025</v>
      </c>
      <c r="G31" s="17">
        <v>2026</v>
      </c>
      <c r="H31" s="17">
        <v>2027</v>
      </c>
      <c r="I31" s="17">
        <v>2028</v>
      </c>
      <c r="J31" s="17">
        <v>2029</v>
      </c>
      <c r="K31" s="17">
        <v>2030</v>
      </c>
      <c r="L31" s="17">
        <v>2031</v>
      </c>
      <c r="M31" s="18">
        <v>2032</v>
      </c>
      <c r="O31" s="87"/>
      <c r="P31" s="87"/>
      <c r="Q31" s="87"/>
      <c r="R31" s="87"/>
      <c r="S31" s="87"/>
      <c r="T31" s="87"/>
      <c r="U31" s="87"/>
      <c r="V31" s="87"/>
      <c r="W31" s="87"/>
      <c r="X31" s="87"/>
    </row>
    <row r="32" spans="2:24" hidden="1" x14ac:dyDescent="0.25">
      <c r="B32" s="19" t="s">
        <v>0</v>
      </c>
      <c r="C32" s="25"/>
      <c r="D32" s="26"/>
      <c r="E32" s="26"/>
      <c r="F32" s="26"/>
      <c r="G32" s="26"/>
      <c r="H32" s="26"/>
      <c r="I32" s="26"/>
      <c r="J32" s="26"/>
      <c r="K32" s="26"/>
      <c r="L32" s="26"/>
      <c r="M32" s="27"/>
      <c r="O32" s="87"/>
      <c r="P32" s="87"/>
      <c r="Q32" s="87"/>
      <c r="R32" s="87"/>
      <c r="S32" s="87"/>
      <c r="T32" s="87"/>
      <c r="U32" s="87"/>
      <c r="V32" s="87"/>
      <c r="W32" s="87"/>
      <c r="X32" s="87"/>
    </row>
    <row r="33" spans="2:24" hidden="1" x14ac:dyDescent="0.25">
      <c r="B33" s="19" t="s">
        <v>1</v>
      </c>
      <c r="C33" s="25">
        <v>1192358.1467810611</v>
      </c>
      <c r="D33" s="31">
        <f t="shared" ref="D33:M33" si="3">C33*(1+D12)</f>
        <v>1222167.1004505875</v>
      </c>
      <c r="E33" s="31">
        <f t="shared" si="3"/>
        <v>1246610.4424595991</v>
      </c>
      <c r="F33" s="31">
        <f t="shared" si="3"/>
        <v>1271542.651308791</v>
      </c>
      <c r="G33" s="31">
        <f t="shared" si="3"/>
        <v>1296973.5043349669</v>
      </c>
      <c r="H33" s="31">
        <f t="shared" si="3"/>
        <v>1322912.9744216662</v>
      </c>
      <c r="I33" s="31">
        <f t="shared" si="3"/>
        <v>1349371.2339100996</v>
      </c>
      <c r="J33" s="31">
        <f t="shared" si="3"/>
        <v>1376358.6585883016</v>
      </c>
      <c r="K33" s="31">
        <f t="shared" si="3"/>
        <v>1403885.8317600677</v>
      </c>
      <c r="L33" s="31">
        <f t="shared" si="3"/>
        <v>1431963.5483952691</v>
      </c>
      <c r="M33" s="38">
        <f t="shared" si="3"/>
        <v>1460602.8193631745</v>
      </c>
      <c r="O33" s="87"/>
      <c r="P33" s="87"/>
      <c r="Q33" s="87"/>
      <c r="R33" s="87"/>
      <c r="S33" s="87"/>
      <c r="T33" s="87"/>
      <c r="U33" s="87"/>
      <c r="V33" s="87"/>
      <c r="W33" s="87"/>
      <c r="X33" s="87"/>
    </row>
    <row r="34" spans="2:24" hidden="1" x14ac:dyDescent="0.25">
      <c r="B34" s="19" t="s">
        <v>2</v>
      </c>
      <c r="C34" s="25">
        <v>1130457.92368</v>
      </c>
      <c r="D34" s="31">
        <f t="shared" ref="D34:M34" si="4">C34*(1+D13)</f>
        <v>1153067.0821535999</v>
      </c>
      <c r="E34" s="31">
        <f t="shared" si="4"/>
        <v>1176128.4237966719</v>
      </c>
      <c r="F34" s="31">
        <f t="shared" si="4"/>
        <v>1199650.9922726054</v>
      </c>
      <c r="G34" s="31">
        <f t="shared" si="4"/>
        <v>1223644.0121180576</v>
      </c>
      <c r="H34" s="31">
        <f t="shared" si="4"/>
        <v>1248116.8923604188</v>
      </c>
      <c r="I34" s="31">
        <f t="shared" si="4"/>
        <v>1273079.2302076272</v>
      </c>
      <c r="J34" s="31">
        <f t="shared" si="4"/>
        <v>1298540.8148117797</v>
      </c>
      <c r="K34" s="31">
        <f t="shared" si="4"/>
        <v>1324511.6311080153</v>
      </c>
      <c r="L34" s="31">
        <f t="shared" si="4"/>
        <v>1351001.8637301757</v>
      </c>
      <c r="M34" s="38">
        <f t="shared" si="4"/>
        <v>1378021.9010047792</v>
      </c>
      <c r="O34" s="87"/>
      <c r="P34" s="87"/>
      <c r="Q34" s="87"/>
      <c r="R34" s="87"/>
      <c r="S34" s="87"/>
      <c r="T34" s="87"/>
      <c r="U34" s="87"/>
      <c r="V34" s="87"/>
      <c r="W34" s="87"/>
      <c r="X34" s="87"/>
    </row>
    <row r="35" spans="2:24" hidden="1" x14ac:dyDescent="0.25">
      <c r="B35" s="19" t="s">
        <v>3</v>
      </c>
      <c r="C35" s="25">
        <v>517624.66919999995</v>
      </c>
      <c r="D35" s="31">
        <f t="shared" ref="D35:M35" si="5">C35*(1+D14)</f>
        <v>527977.16258399992</v>
      </c>
      <c r="E35" s="31">
        <f t="shared" si="5"/>
        <v>535896.82002275984</v>
      </c>
      <c r="F35" s="31">
        <f t="shared" si="5"/>
        <v>546614.75642321503</v>
      </c>
      <c r="G35" s="31">
        <f t="shared" si="5"/>
        <v>554813.97776956321</v>
      </c>
      <c r="H35" s="31">
        <f t="shared" si="5"/>
        <v>565910.25732495449</v>
      </c>
      <c r="I35" s="31">
        <f t="shared" si="5"/>
        <v>574398.91118482873</v>
      </c>
      <c r="J35" s="31">
        <f t="shared" si="5"/>
        <v>585886.88940852531</v>
      </c>
      <c r="K35" s="31">
        <f t="shared" si="5"/>
        <v>594675.19274965313</v>
      </c>
      <c r="L35" s="31">
        <f t="shared" si="5"/>
        <v>603595.32064089784</v>
      </c>
      <c r="M35" s="38">
        <f t="shared" si="5"/>
        <v>612649.25045051123</v>
      </c>
      <c r="O35" s="87"/>
      <c r="P35" s="87"/>
      <c r="Q35" s="87"/>
      <c r="R35" s="87"/>
      <c r="S35" s="87"/>
      <c r="T35" s="87"/>
      <c r="U35" s="87"/>
      <c r="V35" s="87"/>
      <c r="W35" s="87"/>
      <c r="X35" s="87"/>
    </row>
    <row r="36" spans="2:24" hidden="1" x14ac:dyDescent="0.25">
      <c r="B36" s="19" t="s">
        <v>4</v>
      </c>
      <c r="C36" s="25">
        <v>2772818.0281983982</v>
      </c>
      <c r="D36" s="31">
        <f>(C36+175000)*(1+D15)</f>
        <v>2992035.2986213737</v>
      </c>
      <c r="E36" s="31">
        <f t="shared" ref="E36:M36" si="6">D36*(1+E15)</f>
        <v>3051876.0045938012</v>
      </c>
      <c r="F36" s="31">
        <f t="shared" si="6"/>
        <v>3097654.144662708</v>
      </c>
      <c r="G36" s="31">
        <f t="shared" si="6"/>
        <v>3159607.2275559623</v>
      </c>
      <c r="H36" s="31">
        <f t="shared" si="6"/>
        <v>3207001.3359693014</v>
      </c>
      <c r="I36" s="31">
        <f t="shared" si="6"/>
        <v>3271141.3626886876</v>
      </c>
      <c r="J36" s="31">
        <f t="shared" si="6"/>
        <v>3320208.4831290175</v>
      </c>
      <c r="K36" s="31">
        <f t="shared" si="6"/>
        <v>3386612.6527915979</v>
      </c>
      <c r="L36" s="31">
        <f t="shared" si="6"/>
        <v>3454344.9058474298</v>
      </c>
      <c r="M36" s="38">
        <f t="shared" si="6"/>
        <v>3523431.8039643783</v>
      </c>
      <c r="O36" s="87"/>
      <c r="P36" s="87"/>
      <c r="Q36" s="87"/>
      <c r="R36" s="87"/>
      <c r="S36" s="87"/>
      <c r="T36" s="87"/>
      <c r="U36" s="87"/>
      <c r="V36" s="87"/>
      <c r="W36" s="87"/>
      <c r="X36" s="87"/>
    </row>
    <row r="37" spans="2:24" hidden="1" x14ac:dyDescent="0.25">
      <c r="B37" s="19" t="s">
        <v>5</v>
      </c>
      <c r="C37" s="25">
        <v>3559973.4590783981</v>
      </c>
      <c r="D37" s="31">
        <f>C37*(1+D16)</f>
        <v>3631172.928259966</v>
      </c>
      <c r="E37" s="31">
        <f t="shared" ref="E37:M37" si="7">D37*(1+E16)</f>
        <v>3703796.3868251652</v>
      </c>
      <c r="F37" s="31">
        <f t="shared" si="7"/>
        <v>3777872.3145616688</v>
      </c>
      <c r="G37" s="31">
        <f t="shared" si="7"/>
        <v>3853429.7608529022</v>
      </c>
      <c r="H37" s="31">
        <f t="shared" si="7"/>
        <v>3930498.3560699602</v>
      </c>
      <c r="I37" s="31">
        <f t="shared" si="7"/>
        <v>4009108.3231913596</v>
      </c>
      <c r="J37" s="31">
        <f t="shared" si="7"/>
        <v>4089290.4896551869</v>
      </c>
      <c r="K37" s="31">
        <f t="shared" si="7"/>
        <v>4171076.2994482908</v>
      </c>
      <c r="L37" s="31">
        <f t="shared" si="7"/>
        <v>4254497.8254372571</v>
      </c>
      <c r="M37" s="38">
        <f t="shared" si="7"/>
        <v>4339587.7819460025</v>
      </c>
      <c r="O37" s="87"/>
      <c r="P37" s="87"/>
      <c r="Q37" s="87"/>
      <c r="R37" s="87"/>
      <c r="S37" s="87"/>
      <c r="T37" s="87"/>
      <c r="U37" s="87"/>
      <c r="V37" s="87"/>
      <c r="W37" s="87"/>
      <c r="X37" s="87"/>
    </row>
    <row r="38" spans="2:24" hidden="1" x14ac:dyDescent="0.25">
      <c r="B38" s="19" t="s">
        <v>6</v>
      </c>
      <c r="C38" s="25">
        <v>695471.72</v>
      </c>
      <c r="D38" s="31">
        <f>C38*(1+D17)</f>
        <v>695471.72</v>
      </c>
      <c r="E38" s="31">
        <f t="shared" ref="E38:M38" si="8">D38*(1+E17)</f>
        <v>695471.72</v>
      </c>
      <c r="F38" s="31">
        <f t="shared" si="8"/>
        <v>695471.72</v>
      </c>
      <c r="G38" s="31">
        <f t="shared" si="8"/>
        <v>695471.72</v>
      </c>
      <c r="H38" s="31">
        <f t="shared" si="8"/>
        <v>695471.72</v>
      </c>
      <c r="I38" s="31">
        <f t="shared" si="8"/>
        <v>695471.72</v>
      </c>
      <c r="J38" s="31">
        <f t="shared" si="8"/>
        <v>695471.72</v>
      </c>
      <c r="K38" s="31">
        <f t="shared" si="8"/>
        <v>695471.72</v>
      </c>
      <c r="L38" s="31">
        <f t="shared" si="8"/>
        <v>695471.72</v>
      </c>
      <c r="M38" s="38">
        <f t="shared" si="8"/>
        <v>695471.72</v>
      </c>
      <c r="O38" s="87"/>
      <c r="P38" s="87"/>
      <c r="Q38" s="87"/>
      <c r="R38" s="87"/>
      <c r="S38" s="87"/>
      <c r="T38" s="87"/>
      <c r="U38" s="87"/>
      <c r="V38" s="87"/>
      <c r="W38" s="87"/>
      <c r="X38" s="87"/>
    </row>
    <row r="39" spans="2:24" hidden="1" x14ac:dyDescent="0.25">
      <c r="B39" s="19" t="s">
        <v>7</v>
      </c>
      <c r="C39" s="25"/>
      <c r="D39" s="31"/>
      <c r="E39" s="31"/>
      <c r="F39" s="31"/>
      <c r="G39" s="31"/>
      <c r="H39" s="31"/>
      <c r="I39" s="31"/>
      <c r="J39" s="31"/>
      <c r="K39" s="31"/>
      <c r="L39" s="31"/>
      <c r="M39" s="38"/>
      <c r="O39" s="87"/>
      <c r="P39" s="87"/>
      <c r="Q39" s="87"/>
      <c r="R39" s="87"/>
      <c r="S39" s="87"/>
      <c r="T39" s="87"/>
      <c r="U39" s="87"/>
      <c r="V39" s="87"/>
      <c r="W39" s="87"/>
      <c r="X39" s="87"/>
    </row>
    <row r="40" spans="2:24" hidden="1" x14ac:dyDescent="0.25">
      <c r="B40" s="19" t="s">
        <v>1</v>
      </c>
      <c r="C40" s="25">
        <v>814658.52</v>
      </c>
      <c r="D40" s="31">
        <f t="shared" ref="D40:M40" si="9">C40*(1+D12)</f>
        <v>835024.98299999989</v>
      </c>
      <c r="E40" s="31">
        <f t="shared" si="9"/>
        <v>851725.48265999986</v>
      </c>
      <c r="F40" s="31">
        <f t="shared" si="9"/>
        <v>868759.99231319991</v>
      </c>
      <c r="G40" s="31">
        <f t="shared" si="9"/>
        <v>886135.19215946388</v>
      </c>
      <c r="H40" s="31">
        <f t="shared" si="9"/>
        <v>903857.89600265317</v>
      </c>
      <c r="I40" s="31">
        <f t="shared" si="9"/>
        <v>921935.05392270628</v>
      </c>
      <c r="J40" s="31">
        <f t="shared" si="9"/>
        <v>940373.75500116043</v>
      </c>
      <c r="K40" s="31">
        <f t="shared" si="9"/>
        <v>959181.23010118364</v>
      </c>
      <c r="L40" s="31">
        <f t="shared" si="9"/>
        <v>978364.85470320738</v>
      </c>
      <c r="M40" s="38">
        <f t="shared" si="9"/>
        <v>997932.15179727157</v>
      </c>
      <c r="O40" s="87"/>
      <c r="P40" s="87"/>
      <c r="Q40" s="87"/>
      <c r="R40" s="87"/>
      <c r="S40" s="87"/>
      <c r="T40" s="87"/>
      <c r="U40" s="87"/>
      <c r="V40" s="87"/>
      <c r="W40" s="87"/>
      <c r="X40" s="87"/>
    </row>
    <row r="41" spans="2:24" hidden="1" x14ac:dyDescent="0.25">
      <c r="B41" s="19" t="s">
        <v>2</v>
      </c>
      <c r="C41" s="25">
        <v>186887.50080000001</v>
      </c>
      <c r="D41" s="31">
        <f t="shared" ref="D41:M41" si="10">C41*(1+D13)</f>
        <v>190625.25081600001</v>
      </c>
      <c r="E41" s="31">
        <f t="shared" si="10"/>
        <v>194437.75583232002</v>
      </c>
      <c r="F41" s="31">
        <f t="shared" si="10"/>
        <v>198326.51094896643</v>
      </c>
      <c r="G41" s="31">
        <f t="shared" si="10"/>
        <v>202293.04116794578</v>
      </c>
      <c r="H41" s="31">
        <f t="shared" si="10"/>
        <v>206338.90199130471</v>
      </c>
      <c r="I41" s="31">
        <f t="shared" si="10"/>
        <v>210465.68003113082</v>
      </c>
      <c r="J41" s="31">
        <f t="shared" si="10"/>
        <v>214674.99363175343</v>
      </c>
      <c r="K41" s="31">
        <f t="shared" si="10"/>
        <v>218968.49350438849</v>
      </c>
      <c r="L41" s="31">
        <f t="shared" si="10"/>
        <v>223347.86337447626</v>
      </c>
      <c r="M41" s="38">
        <f t="shared" si="10"/>
        <v>227814.82064196578</v>
      </c>
      <c r="O41" s="87"/>
      <c r="P41" s="87"/>
      <c r="Q41" s="87"/>
      <c r="R41" s="87"/>
      <c r="S41" s="87"/>
      <c r="T41" s="87"/>
      <c r="U41" s="87"/>
      <c r="V41" s="87"/>
      <c r="W41" s="87"/>
      <c r="X41" s="87"/>
    </row>
    <row r="42" spans="2:24" hidden="1" x14ac:dyDescent="0.25">
      <c r="B42" s="19" t="s">
        <v>3</v>
      </c>
      <c r="C42" s="25">
        <v>93059.361499999999</v>
      </c>
      <c r="D42" s="31">
        <f t="shared" ref="D42:M42" si="11">C42*(1+D14)</f>
        <v>94920.548729999995</v>
      </c>
      <c r="E42" s="31">
        <f t="shared" si="11"/>
        <v>96344.356960949983</v>
      </c>
      <c r="F42" s="31">
        <f t="shared" si="11"/>
        <v>98271.244100168988</v>
      </c>
      <c r="G42" s="31">
        <f t="shared" si="11"/>
        <v>99745.312761671506</v>
      </c>
      <c r="H42" s="31">
        <f t="shared" si="11"/>
        <v>101740.21901690494</v>
      </c>
      <c r="I42" s="31">
        <f t="shared" si="11"/>
        <v>103266.3223021585</v>
      </c>
      <c r="J42" s="31">
        <f t="shared" si="11"/>
        <v>105331.64874820167</v>
      </c>
      <c r="K42" s="31">
        <f t="shared" si="11"/>
        <v>106911.62347942468</v>
      </c>
      <c r="L42" s="31">
        <f t="shared" si="11"/>
        <v>108515.29783161604</v>
      </c>
      <c r="M42" s="38">
        <f t="shared" si="11"/>
        <v>110143.02729909027</v>
      </c>
      <c r="O42" s="87"/>
      <c r="P42" s="87"/>
      <c r="Q42" s="87"/>
      <c r="R42" s="87"/>
      <c r="S42" s="87"/>
      <c r="T42" s="87"/>
      <c r="U42" s="87"/>
      <c r="V42" s="87"/>
      <c r="W42" s="87"/>
      <c r="X42" s="87"/>
    </row>
    <row r="43" spans="2:24" hidden="1" x14ac:dyDescent="0.25">
      <c r="B43" s="19" t="s">
        <v>8</v>
      </c>
      <c r="C43" s="25"/>
      <c r="D43" s="31"/>
      <c r="E43" s="31"/>
      <c r="F43" s="31"/>
      <c r="G43" s="31"/>
      <c r="H43" s="31"/>
      <c r="I43" s="31"/>
      <c r="J43" s="31"/>
      <c r="K43" s="31"/>
      <c r="L43" s="31"/>
      <c r="M43" s="38"/>
      <c r="O43" s="87"/>
      <c r="P43" s="87"/>
      <c r="Q43" s="87"/>
      <c r="R43" s="87"/>
      <c r="S43" s="87"/>
      <c r="T43" s="87"/>
      <c r="U43" s="87"/>
      <c r="V43" s="87"/>
      <c r="W43" s="87"/>
      <c r="X43" s="87"/>
    </row>
    <row r="44" spans="2:24" hidden="1" x14ac:dyDescent="0.25">
      <c r="B44" s="19" t="s">
        <v>1</v>
      </c>
      <c r="C44" s="25">
        <v>692985.27999999991</v>
      </c>
      <c r="D44" s="31">
        <f t="shared" ref="D44:M44" si="12">C44*(1+D12)</f>
        <v>710309.91199999989</v>
      </c>
      <c r="E44" s="31">
        <f t="shared" si="12"/>
        <v>724516.11023999995</v>
      </c>
      <c r="F44" s="31">
        <f t="shared" si="12"/>
        <v>739006.43244479992</v>
      </c>
      <c r="G44" s="31">
        <f t="shared" si="12"/>
        <v>753786.56109369593</v>
      </c>
      <c r="H44" s="31">
        <f t="shared" si="12"/>
        <v>768862.29231556982</v>
      </c>
      <c r="I44" s="31">
        <f t="shared" si="12"/>
        <v>784239.53816188127</v>
      </c>
      <c r="J44" s="31">
        <f t="shared" si="12"/>
        <v>799924.3289251189</v>
      </c>
      <c r="K44" s="31">
        <f t="shared" si="12"/>
        <v>815922.81550362124</v>
      </c>
      <c r="L44" s="31">
        <f t="shared" si="12"/>
        <v>832241.27181369369</v>
      </c>
      <c r="M44" s="38">
        <f t="shared" si="12"/>
        <v>848886.09724996763</v>
      </c>
      <c r="O44" s="87"/>
      <c r="P44" s="87"/>
      <c r="Q44" s="87"/>
      <c r="R44" s="87"/>
      <c r="S44" s="87"/>
      <c r="T44" s="87"/>
      <c r="U44" s="87"/>
      <c r="V44" s="87"/>
      <c r="W44" s="87"/>
      <c r="X44" s="87"/>
    </row>
    <row r="45" spans="2:24" hidden="1" x14ac:dyDescent="0.25">
      <c r="B45" s="19" t="s">
        <v>2</v>
      </c>
      <c r="C45" s="25">
        <v>209862.30720000001</v>
      </c>
      <c r="D45" s="31">
        <f t="shared" ref="D45:M45" si="13">C45*(1+D13)</f>
        <v>214059.55334400001</v>
      </c>
      <c r="E45" s="31">
        <f t="shared" si="13"/>
        <v>218340.74441088003</v>
      </c>
      <c r="F45" s="31">
        <f t="shared" si="13"/>
        <v>222707.55929909763</v>
      </c>
      <c r="G45" s="31">
        <f t="shared" si="13"/>
        <v>227161.71048507959</v>
      </c>
      <c r="H45" s="31">
        <f t="shared" si="13"/>
        <v>231704.94469478118</v>
      </c>
      <c r="I45" s="31">
        <f t="shared" si="13"/>
        <v>236339.04358867681</v>
      </c>
      <c r="J45" s="31">
        <f t="shared" si="13"/>
        <v>241065.82446045036</v>
      </c>
      <c r="K45" s="31">
        <f t="shared" si="13"/>
        <v>245887.14094965937</v>
      </c>
      <c r="L45" s="31">
        <f t="shared" si="13"/>
        <v>250804.88376865257</v>
      </c>
      <c r="M45" s="38">
        <f t="shared" si="13"/>
        <v>255820.98144402562</v>
      </c>
      <c r="O45" s="87"/>
      <c r="P45" s="87"/>
      <c r="Q45" s="87"/>
      <c r="R45" s="87"/>
      <c r="S45" s="87"/>
      <c r="T45" s="87"/>
      <c r="U45" s="87"/>
      <c r="V45" s="87"/>
      <c r="W45" s="87"/>
      <c r="X45" s="87"/>
    </row>
    <row r="46" spans="2:24" hidden="1" x14ac:dyDescent="0.25">
      <c r="B46" s="19" t="s">
        <v>3</v>
      </c>
      <c r="C46" s="25">
        <v>80388.456749999983</v>
      </c>
      <c r="D46" s="31">
        <f t="shared" ref="D46:M46" si="14">C46*(1+D14)</f>
        <v>81996.225884999978</v>
      </c>
      <c r="E46" s="31">
        <f t="shared" si="14"/>
        <v>83226.169273274965</v>
      </c>
      <c r="F46" s="31">
        <f t="shared" si="14"/>
        <v>84890.69265874046</v>
      </c>
      <c r="G46" s="31">
        <f t="shared" si="14"/>
        <v>86164.053048621558</v>
      </c>
      <c r="H46" s="31">
        <f t="shared" si="14"/>
        <v>87887.334109593983</v>
      </c>
      <c r="I46" s="31">
        <f t="shared" si="14"/>
        <v>89205.644121237885</v>
      </c>
      <c r="J46" s="31">
        <f t="shared" si="14"/>
        <v>90989.757003662642</v>
      </c>
      <c r="K46" s="31">
        <f t="shared" si="14"/>
        <v>92354.603358717577</v>
      </c>
      <c r="L46" s="31">
        <f t="shared" si="14"/>
        <v>93739.922409098333</v>
      </c>
      <c r="M46" s="38">
        <f t="shared" si="14"/>
        <v>95146.021245234806</v>
      </c>
      <c r="O46" s="87"/>
      <c r="P46" s="87"/>
      <c r="Q46" s="87"/>
      <c r="R46" s="87"/>
      <c r="S46" s="87"/>
      <c r="T46" s="87"/>
      <c r="U46" s="87"/>
      <c r="V46" s="87"/>
      <c r="W46" s="87"/>
      <c r="X46" s="87"/>
    </row>
    <row r="47" spans="2:24" hidden="1" x14ac:dyDescent="0.25">
      <c r="B47" s="19"/>
      <c r="C47" s="25"/>
      <c r="D47" s="26"/>
      <c r="E47" s="26"/>
      <c r="F47" s="26"/>
      <c r="G47" s="26"/>
      <c r="H47" s="26"/>
      <c r="I47" s="26"/>
      <c r="J47" s="26"/>
      <c r="K47" s="26"/>
      <c r="L47" s="26"/>
      <c r="M47" s="27"/>
      <c r="O47" s="87"/>
      <c r="P47" s="87"/>
      <c r="Q47" s="87"/>
      <c r="R47" s="87"/>
      <c r="S47" s="87"/>
      <c r="T47" s="87"/>
      <c r="U47" s="87"/>
      <c r="V47" s="87"/>
      <c r="W47" s="87"/>
      <c r="X47" s="87"/>
    </row>
    <row r="48" spans="2:24" hidden="1" x14ac:dyDescent="0.25">
      <c r="B48" s="19" t="s">
        <v>25</v>
      </c>
      <c r="C48" s="37">
        <f>SUM(C33:C46)</f>
        <v>11946545.373187857</v>
      </c>
      <c r="D48" s="39">
        <f t="shared" ref="D48:M48" si="15">SUM(D33:D46)</f>
        <v>12348827.765844528</v>
      </c>
      <c r="E48" s="39">
        <f t="shared" si="15"/>
        <v>12578370.417075424</v>
      </c>
      <c r="F48" s="39">
        <f t="shared" si="15"/>
        <v>12800769.010993963</v>
      </c>
      <c r="G48" s="39">
        <f t="shared" si="15"/>
        <v>13039226.073347934</v>
      </c>
      <c r="H48" s="39">
        <f t="shared" si="15"/>
        <v>13270303.124277111</v>
      </c>
      <c r="I48" s="39">
        <f t="shared" si="15"/>
        <v>13518022.063310396</v>
      </c>
      <c r="J48" s="39">
        <f t="shared" si="15"/>
        <v>13758117.363363164</v>
      </c>
      <c r="K48" s="39">
        <f t="shared" si="15"/>
        <v>14015459.23475462</v>
      </c>
      <c r="L48" s="39">
        <f t="shared" si="15"/>
        <v>14277889.277951773</v>
      </c>
      <c r="M48" s="40">
        <f t="shared" si="15"/>
        <v>14545508.376406403</v>
      </c>
      <c r="O48" s="87"/>
      <c r="P48" s="87"/>
      <c r="Q48" s="87"/>
      <c r="R48" s="87"/>
      <c r="S48" s="87"/>
      <c r="T48" s="87"/>
      <c r="U48" s="87"/>
      <c r="V48" s="87"/>
      <c r="W48" s="87"/>
      <c r="X48" s="87"/>
    </row>
    <row r="49" spans="2:24" hidden="1" x14ac:dyDescent="0.25">
      <c r="B49" s="19" t="s">
        <v>26</v>
      </c>
      <c r="C49" s="37"/>
      <c r="D49" s="41">
        <f>(D48-C48)/C48</f>
        <v>3.3673533234095478E-2</v>
      </c>
      <c r="E49" s="41">
        <f t="shared" ref="E49:M49" si="16">(E48-D48)/D48</f>
        <v>1.8588213843728968E-2</v>
      </c>
      <c r="F49" s="41">
        <f t="shared" si="16"/>
        <v>1.7681033913314274E-2</v>
      </c>
      <c r="G49" s="41">
        <f t="shared" si="16"/>
        <v>1.8628338824735545E-2</v>
      </c>
      <c r="H49" s="41">
        <f t="shared" si="16"/>
        <v>1.7721684525548419E-2</v>
      </c>
      <c r="I49" s="41">
        <f t="shared" si="16"/>
        <v>1.8667165076289776E-2</v>
      </c>
      <c r="J49" s="41">
        <f t="shared" si="16"/>
        <v>1.7761126511578667E-2</v>
      </c>
      <c r="K49" s="41">
        <f t="shared" si="16"/>
        <v>1.8704730058251916E-2</v>
      </c>
      <c r="L49" s="41">
        <f t="shared" si="16"/>
        <v>1.8724327102061435E-2</v>
      </c>
      <c r="M49" s="42">
        <f t="shared" si="16"/>
        <v>1.8743603710941591E-2</v>
      </c>
      <c r="O49" s="87"/>
      <c r="P49" s="87"/>
      <c r="Q49" s="87"/>
      <c r="R49" s="87"/>
      <c r="S49" s="87"/>
      <c r="T49" s="87"/>
      <c r="U49" s="87"/>
      <c r="V49" s="87"/>
      <c r="W49" s="87"/>
      <c r="X49" s="87"/>
    </row>
    <row r="50" spans="2:24" hidden="1" x14ac:dyDescent="0.25">
      <c r="B50" s="19"/>
      <c r="C50" s="25"/>
      <c r="D50" s="26"/>
      <c r="E50" s="26"/>
      <c r="F50" s="26"/>
      <c r="G50" s="26"/>
      <c r="H50" s="26"/>
      <c r="I50" s="26"/>
      <c r="J50" s="26"/>
      <c r="K50" s="26"/>
      <c r="L50" s="26"/>
      <c r="M50" s="27"/>
      <c r="O50" s="87"/>
      <c r="P50" s="87"/>
      <c r="Q50" s="87"/>
      <c r="R50" s="87"/>
      <c r="S50" s="87"/>
      <c r="T50" s="87"/>
      <c r="U50" s="87"/>
      <c r="V50" s="87"/>
      <c r="W50" s="87"/>
      <c r="X50" s="87"/>
    </row>
    <row r="51" spans="2:24" hidden="1" x14ac:dyDescent="0.25">
      <c r="B51" s="19" t="s">
        <v>10</v>
      </c>
      <c r="C51" s="25"/>
      <c r="D51" s="26"/>
      <c r="E51" s="26"/>
      <c r="F51" s="26"/>
      <c r="G51" s="26"/>
      <c r="H51" s="26"/>
      <c r="I51" s="26"/>
      <c r="J51" s="26"/>
      <c r="K51" s="26"/>
      <c r="L51" s="26"/>
      <c r="M51" s="27"/>
      <c r="O51" s="87"/>
      <c r="P51" s="87"/>
      <c r="Q51" s="87"/>
      <c r="R51" s="87"/>
      <c r="S51" s="87"/>
      <c r="T51" s="87"/>
      <c r="U51" s="87"/>
      <c r="V51" s="87"/>
      <c r="W51" s="87"/>
      <c r="X51" s="87"/>
    </row>
    <row r="52" spans="2:24" hidden="1" x14ac:dyDescent="0.25">
      <c r="B52" s="19" t="s">
        <v>11</v>
      </c>
      <c r="C52" s="25">
        <v>1796195</v>
      </c>
      <c r="D52" s="31">
        <f>C52*(1+D49)</f>
        <v>1856679.2320274159</v>
      </c>
      <c r="E52" s="31">
        <f t="shared" ref="E52:M52" si="17">D52*(1+E49)</f>
        <v>1891191.5826315521</v>
      </c>
      <c r="F52" s="31">
        <f t="shared" si="17"/>
        <v>1924629.805140635</v>
      </c>
      <c r="G52" s="31">
        <f t="shared" si="17"/>
        <v>1960482.4612629793</v>
      </c>
      <c r="H52" s="31">
        <f t="shared" si="17"/>
        <v>1995225.5129593525</v>
      </c>
      <c r="I52" s="31">
        <f t="shared" si="17"/>
        <v>2032470.7169741895</v>
      </c>
      <c r="J52" s="31">
        <f t="shared" si="17"/>
        <v>2068569.6865094472</v>
      </c>
      <c r="K52" s="31">
        <f t="shared" si="17"/>
        <v>2107261.724102289</v>
      </c>
      <c r="L52" s="31">
        <f t="shared" si="17"/>
        <v>2146718.7819140339</v>
      </c>
      <c r="M52" s="38">
        <f t="shared" si="17"/>
        <v>2186956.0280410661</v>
      </c>
      <c r="O52" s="87"/>
      <c r="P52" s="87"/>
      <c r="Q52" s="87"/>
      <c r="R52" s="87"/>
      <c r="S52" s="87"/>
      <c r="T52" s="87"/>
      <c r="U52" s="87"/>
      <c r="V52" s="87"/>
      <c r="W52" s="87"/>
      <c r="X52" s="87"/>
    </row>
    <row r="53" spans="2:24" hidden="1" x14ac:dyDescent="0.25">
      <c r="B53" s="19" t="s">
        <v>12</v>
      </c>
      <c r="C53" s="25">
        <v>155000</v>
      </c>
      <c r="D53" s="31">
        <f>C53*(1+D49)</f>
        <v>160219.39765128479</v>
      </c>
      <c r="E53" s="31">
        <f t="shared" ref="E53:M53" si="18">D53*(1+E49)</f>
        <v>163197.59007674031</v>
      </c>
      <c r="F53" s="31">
        <f t="shared" si="18"/>
        <v>166083.09220145829</v>
      </c>
      <c r="G53" s="31">
        <f t="shared" si="18"/>
        <v>169176.94431604684</v>
      </c>
      <c r="H53" s="31">
        <f t="shared" si="18"/>
        <v>172175.04475221207</v>
      </c>
      <c r="I53" s="31">
        <f t="shared" si="18"/>
        <v>175389.06473461917</v>
      </c>
      <c r="J53" s="31">
        <f t="shared" si="18"/>
        <v>178504.1721021182</v>
      </c>
      <c r="K53" s="31">
        <f t="shared" si="18"/>
        <v>181843.04445556007</v>
      </c>
      <c r="L53" s="31">
        <f t="shared" si="18"/>
        <v>185247.93310118068</v>
      </c>
      <c r="M53" s="38">
        <f t="shared" si="18"/>
        <v>188720.14694750024</v>
      </c>
      <c r="O53" s="87"/>
      <c r="P53" s="87"/>
      <c r="Q53" s="87"/>
      <c r="R53" s="87"/>
      <c r="S53" s="87"/>
      <c r="T53" s="87"/>
      <c r="U53" s="87"/>
      <c r="V53" s="87"/>
      <c r="W53" s="87"/>
      <c r="X53" s="87"/>
    </row>
    <row r="54" spans="2:24" hidden="1" x14ac:dyDescent="0.25">
      <c r="B54" s="19" t="s">
        <v>13</v>
      </c>
      <c r="C54" s="25">
        <v>125000</v>
      </c>
      <c r="D54" s="31">
        <f>C54*(1+D49)</f>
        <v>129209.19165426193</v>
      </c>
      <c r="E54" s="31">
        <f t="shared" ref="E54:M54" si="19">D54*(1+E49)</f>
        <v>131610.95973930671</v>
      </c>
      <c r="F54" s="31">
        <f t="shared" si="19"/>
        <v>133937.97758182124</v>
      </c>
      <c r="G54" s="31">
        <f t="shared" si="19"/>
        <v>136433.01960971524</v>
      </c>
      <c r="H54" s="31">
        <f t="shared" si="19"/>
        <v>138850.84254210655</v>
      </c>
      <c r="I54" s="31">
        <f t="shared" si="19"/>
        <v>141442.79414082196</v>
      </c>
      <c r="J54" s="31">
        <f t="shared" si="19"/>
        <v>143954.97750170829</v>
      </c>
      <c r="K54" s="31">
        <f t="shared" si="19"/>
        <v>146647.61649641948</v>
      </c>
      <c r="L54" s="31">
        <f t="shared" si="19"/>
        <v>149393.4944364361</v>
      </c>
      <c r="M54" s="38">
        <f t="shared" si="19"/>
        <v>152193.66689314542</v>
      </c>
      <c r="O54" s="87"/>
      <c r="P54" s="87"/>
      <c r="Q54" s="87"/>
      <c r="R54" s="87"/>
      <c r="S54" s="87"/>
      <c r="T54" s="87"/>
      <c r="U54" s="87"/>
      <c r="V54" s="87"/>
      <c r="W54" s="87"/>
      <c r="X54" s="87"/>
    </row>
    <row r="55" spans="2:24" hidden="1" x14ac:dyDescent="0.25">
      <c r="B55" s="19"/>
      <c r="C55" s="25"/>
      <c r="D55" s="26"/>
      <c r="E55" s="26"/>
      <c r="F55" s="26"/>
      <c r="G55" s="26"/>
      <c r="H55" s="26"/>
      <c r="I55" s="26"/>
      <c r="J55" s="26"/>
      <c r="K55" s="26"/>
      <c r="L55" s="26"/>
      <c r="M55" s="27"/>
      <c r="O55" s="87"/>
      <c r="P55" s="87"/>
      <c r="Q55" s="87"/>
      <c r="R55" s="87"/>
      <c r="S55" s="87"/>
      <c r="T55" s="87"/>
      <c r="U55" s="87"/>
      <c r="V55" s="87"/>
      <c r="W55" s="87"/>
      <c r="X55" s="87"/>
    </row>
    <row r="56" spans="2:24" hidden="1" x14ac:dyDescent="0.25">
      <c r="B56" s="19" t="s">
        <v>14</v>
      </c>
      <c r="C56" s="25"/>
      <c r="D56" s="26"/>
      <c r="E56" s="26"/>
      <c r="F56" s="26"/>
      <c r="G56" s="26"/>
      <c r="H56" s="26"/>
      <c r="I56" s="26"/>
      <c r="J56" s="26"/>
      <c r="K56" s="26"/>
      <c r="L56" s="26"/>
      <c r="M56" s="27"/>
      <c r="O56" s="87"/>
      <c r="P56" s="87"/>
      <c r="Q56" s="87"/>
      <c r="R56" s="87"/>
      <c r="S56" s="87"/>
      <c r="T56" s="87"/>
      <c r="U56" s="87"/>
      <c r="V56" s="87"/>
      <c r="W56" s="87"/>
      <c r="X56" s="87"/>
    </row>
    <row r="57" spans="2:24" hidden="1" x14ac:dyDescent="0.25">
      <c r="B57" s="19" t="s">
        <v>11</v>
      </c>
      <c r="C57" s="25">
        <v>209284</v>
      </c>
      <c r="D57" s="31">
        <f t="shared" ref="D57:M57" si="20">C57*(1+D25)</f>
        <v>213783.60600000003</v>
      </c>
      <c r="E57" s="31">
        <f t="shared" si="20"/>
        <v>218486.84533200003</v>
      </c>
      <c r="F57" s="31">
        <f t="shared" si="20"/>
        <v>223402.79935197002</v>
      </c>
      <c r="G57" s="31">
        <f t="shared" si="20"/>
        <v>228541.06373706533</v>
      </c>
      <c r="H57" s="31">
        <f t="shared" si="20"/>
        <v>233797.50820301782</v>
      </c>
      <c r="I57" s="31">
        <f t="shared" si="20"/>
        <v>239291.74964578875</v>
      </c>
      <c r="J57" s="31">
        <f t="shared" si="20"/>
        <v>244675.814012819</v>
      </c>
      <c r="K57" s="31">
        <f t="shared" si="20"/>
        <v>250181.01982810741</v>
      </c>
      <c r="L57" s="31">
        <f t="shared" si="20"/>
        <v>255685.00226432577</v>
      </c>
      <c r="M57" s="38">
        <f t="shared" si="20"/>
        <v>261310.07231414094</v>
      </c>
      <c r="O57" s="87"/>
      <c r="P57" s="87"/>
      <c r="Q57" s="87"/>
      <c r="R57" s="87"/>
      <c r="S57" s="87"/>
      <c r="T57" s="87"/>
      <c r="U57" s="87"/>
      <c r="V57" s="87"/>
      <c r="W57" s="87"/>
      <c r="X57" s="87"/>
    </row>
    <row r="58" spans="2:24" hidden="1" x14ac:dyDescent="0.25">
      <c r="B58" s="19" t="s">
        <v>12</v>
      </c>
      <c r="C58" s="25">
        <v>0</v>
      </c>
      <c r="D58" s="31">
        <f t="shared" ref="D58:M58" si="21">C58*(1+D25)</f>
        <v>0</v>
      </c>
      <c r="E58" s="31">
        <f t="shared" si="21"/>
        <v>0</v>
      </c>
      <c r="F58" s="31">
        <f t="shared" si="21"/>
        <v>0</v>
      </c>
      <c r="G58" s="31">
        <f t="shared" si="21"/>
        <v>0</v>
      </c>
      <c r="H58" s="31">
        <f t="shared" si="21"/>
        <v>0</v>
      </c>
      <c r="I58" s="31">
        <f t="shared" si="21"/>
        <v>0</v>
      </c>
      <c r="J58" s="31">
        <f t="shared" si="21"/>
        <v>0</v>
      </c>
      <c r="K58" s="31">
        <f t="shared" si="21"/>
        <v>0</v>
      </c>
      <c r="L58" s="31">
        <f t="shared" si="21"/>
        <v>0</v>
      </c>
      <c r="M58" s="38">
        <f t="shared" si="21"/>
        <v>0</v>
      </c>
      <c r="O58" s="87"/>
      <c r="P58" s="87"/>
      <c r="Q58" s="87"/>
      <c r="R58" s="87"/>
      <c r="S58" s="87"/>
      <c r="T58" s="87"/>
      <c r="U58" s="87"/>
      <c r="V58" s="87"/>
      <c r="W58" s="87"/>
      <c r="X58" s="87"/>
    </row>
    <row r="59" spans="2:24" hidden="1" x14ac:dyDescent="0.25">
      <c r="B59" s="19" t="s">
        <v>13</v>
      </c>
      <c r="C59" s="25">
        <v>21000</v>
      </c>
      <c r="D59" s="31">
        <f t="shared" ref="D59:M59" si="22">C59*(1+D25)</f>
        <v>21451.5</v>
      </c>
      <c r="E59" s="31">
        <f t="shared" si="22"/>
        <v>21923.433000000001</v>
      </c>
      <c r="F59" s="31">
        <f t="shared" si="22"/>
        <v>22416.710242500001</v>
      </c>
      <c r="G59" s="31">
        <f t="shared" si="22"/>
        <v>22932.294578077501</v>
      </c>
      <c r="H59" s="31">
        <f t="shared" si="22"/>
        <v>23459.737353373283</v>
      </c>
      <c r="I59" s="31">
        <f t="shared" si="22"/>
        <v>24011.041181177556</v>
      </c>
      <c r="J59" s="31">
        <f t="shared" si="22"/>
        <v>24551.28960775405</v>
      </c>
      <c r="K59" s="31">
        <f t="shared" si="22"/>
        <v>25103.693623928517</v>
      </c>
      <c r="L59" s="31">
        <f t="shared" si="22"/>
        <v>25655.974883654944</v>
      </c>
      <c r="M59" s="38">
        <f t="shared" si="22"/>
        <v>26220.406331095353</v>
      </c>
      <c r="O59" s="87"/>
      <c r="P59" s="87"/>
      <c r="Q59" s="87"/>
      <c r="R59" s="87"/>
      <c r="S59" s="87"/>
      <c r="T59" s="87"/>
      <c r="U59" s="87"/>
      <c r="V59" s="87"/>
      <c r="W59" s="87"/>
      <c r="X59" s="87"/>
    </row>
    <row r="60" spans="2:24" hidden="1" x14ac:dyDescent="0.25">
      <c r="B60" s="19"/>
      <c r="C60" s="25"/>
      <c r="D60" s="26"/>
      <c r="E60" s="26"/>
      <c r="F60" s="26"/>
      <c r="G60" s="26"/>
      <c r="H60" s="26"/>
      <c r="I60" s="26"/>
      <c r="J60" s="26"/>
      <c r="K60" s="26"/>
      <c r="L60" s="26"/>
      <c r="M60" s="27"/>
      <c r="O60" s="87"/>
      <c r="P60" s="87"/>
      <c r="Q60" s="87"/>
      <c r="R60" s="87"/>
      <c r="S60" s="87"/>
      <c r="T60" s="87"/>
      <c r="U60" s="87"/>
      <c r="V60" s="87"/>
      <c r="W60" s="87"/>
      <c r="X60" s="87"/>
    </row>
    <row r="61" spans="2:24" hidden="1" x14ac:dyDescent="0.25">
      <c r="B61" s="19" t="s">
        <v>15</v>
      </c>
      <c r="C61" s="25"/>
      <c r="D61" s="26"/>
      <c r="E61" s="26"/>
      <c r="F61" s="26"/>
      <c r="G61" s="26"/>
      <c r="H61" s="26"/>
      <c r="I61" s="26"/>
      <c r="J61" s="26"/>
      <c r="K61" s="26"/>
      <c r="L61" s="26"/>
      <c r="M61" s="27"/>
      <c r="O61" s="87"/>
      <c r="P61" s="87"/>
      <c r="Q61" s="87"/>
      <c r="R61" s="87"/>
      <c r="S61" s="87"/>
      <c r="T61" s="87"/>
      <c r="U61" s="87"/>
      <c r="V61" s="87"/>
      <c r="W61" s="87"/>
      <c r="X61" s="87"/>
    </row>
    <row r="62" spans="2:24" hidden="1" x14ac:dyDescent="0.25">
      <c r="B62" s="19" t="s">
        <v>11</v>
      </c>
      <c r="C62" s="25">
        <f>3427033</f>
        <v>3427033</v>
      </c>
      <c r="D62" s="26">
        <f>(C62-55000-30000-15000-45000-15000-15000-95166-18000-24000-20000-30000)*(1+D25)</f>
        <v>3130761.6405000002</v>
      </c>
      <c r="E62" s="26">
        <f t="shared" ref="E62:M62" si="23">D62*(1+E25)</f>
        <v>3199638.3965910003</v>
      </c>
      <c r="F62" s="26">
        <f t="shared" si="23"/>
        <v>3271630.2605142975</v>
      </c>
      <c r="G62" s="26">
        <f t="shared" si="23"/>
        <v>3346877.7565061259</v>
      </c>
      <c r="H62" s="26">
        <f t="shared" si="23"/>
        <v>3423855.9449057663</v>
      </c>
      <c r="I62" s="26">
        <f t="shared" si="23"/>
        <v>3504316.5596110523</v>
      </c>
      <c r="J62" s="26">
        <f t="shared" si="23"/>
        <v>3583163.682202301</v>
      </c>
      <c r="K62" s="26">
        <f t="shared" si="23"/>
        <v>3663784.8650518525</v>
      </c>
      <c r="L62" s="26">
        <f t="shared" si="23"/>
        <v>3744388.1320829932</v>
      </c>
      <c r="M62" s="27">
        <f t="shared" si="23"/>
        <v>3826764.6709888191</v>
      </c>
      <c r="O62" s="87"/>
      <c r="P62" s="87"/>
      <c r="Q62" s="87"/>
      <c r="R62" s="87"/>
      <c r="S62" s="87"/>
      <c r="T62" s="87"/>
      <c r="U62" s="87"/>
      <c r="V62" s="87"/>
      <c r="W62" s="87"/>
      <c r="X62" s="87"/>
    </row>
    <row r="63" spans="2:24" hidden="1" x14ac:dyDescent="0.25">
      <c r="B63" s="19" t="s">
        <v>12</v>
      </c>
      <c r="C63" s="25">
        <v>1133804</v>
      </c>
      <c r="D63" s="26">
        <f t="shared" ref="D63:M63" si="24">C63*(1+D25)</f>
        <v>1158180.7860000001</v>
      </c>
      <c r="E63" s="26">
        <f t="shared" si="24"/>
        <v>1183660.7632920002</v>
      </c>
      <c r="F63" s="26">
        <f t="shared" si="24"/>
        <v>1210293.13046607</v>
      </c>
      <c r="G63" s="26">
        <f t="shared" si="24"/>
        <v>1238129.8724667896</v>
      </c>
      <c r="H63" s="26">
        <f t="shared" si="24"/>
        <v>1266606.8595335255</v>
      </c>
      <c r="I63" s="26">
        <f t="shared" si="24"/>
        <v>1296372.1207325635</v>
      </c>
      <c r="J63" s="26">
        <f t="shared" si="24"/>
        <v>1325540.4934490463</v>
      </c>
      <c r="K63" s="26">
        <f t="shared" si="24"/>
        <v>1355365.1545516497</v>
      </c>
      <c r="L63" s="26">
        <f t="shared" si="24"/>
        <v>1385183.187951786</v>
      </c>
      <c r="M63" s="27">
        <f t="shared" si="24"/>
        <v>1415657.2180867253</v>
      </c>
      <c r="O63" s="87"/>
      <c r="P63" s="87"/>
      <c r="Q63" s="87"/>
      <c r="R63" s="87"/>
      <c r="S63" s="87"/>
      <c r="T63" s="87"/>
      <c r="U63" s="87"/>
      <c r="V63" s="87"/>
      <c r="W63" s="87"/>
      <c r="X63" s="87"/>
    </row>
    <row r="64" spans="2:24" hidden="1" x14ac:dyDescent="0.25">
      <c r="B64" s="19" t="s">
        <v>13</v>
      </c>
      <c r="C64" s="25">
        <v>1245137</v>
      </c>
      <c r="D64" s="26">
        <f t="shared" ref="D64:M64" si="25">C64*(1+D25)</f>
        <v>1271907.4455000001</v>
      </c>
      <c r="E64" s="26">
        <f t="shared" si="25"/>
        <v>1299889.4093010002</v>
      </c>
      <c r="F64" s="26">
        <f t="shared" si="25"/>
        <v>1329136.9210102726</v>
      </c>
      <c r="G64" s="26">
        <f t="shared" si="25"/>
        <v>1359707.0701935086</v>
      </c>
      <c r="H64" s="26">
        <f t="shared" si="25"/>
        <v>1390980.3328079593</v>
      </c>
      <c r="I64" s="26">
        <f t="shared" si="25"/>
        <v>1423668.3706289465</v>
      </c>
      <c r="J64" s="26">
        <f t="shared" si="25"/>
        <v>1455700.9089680978</v>
      </c>
      <c r="K64" s="26">
        <f t="shared" si="25"/>
        <v>1488454.1794198798</v>
      </c>
      <c r="L64" s="26">
        <f t="shared" si="25"/>
        <v>1521200.1713671172</v>
      </c>
      <c r="M64" s="27">
        <f t="shared" si="25"/>
        <v>1554666.5751371938</v>
      </c>
      <c r="O64" s="87"/>
      <c r="P64" s="87"/>
      <c r="Q64" s="87"/>
      <c r="R64" s="87"/>
      <c r="S64" s="87"/>
      <c r="T64" s="87"/>
      <c r="U64" s="87"/>
      <c r="V64" s="87"/>
      <c r="W64" s="87"/>
      <c r="X64" s="87"/>
    </row>
    <row r="65" spans="2:24" hidden="1" x14ac:dyDescent="0.25">
      <c r="B65" s="19"/>
      <c r="C65" s="25"/>
      <c r="D65" s="26"/>
      <c r="E65" s="26"/>
      <c r="F65" s="26"/>
      <c r="G65" s="26"/>
      <c r="H65" s="26"/>
      <c r="I65" s="26"/>
      <c r="J65" s="26"/>
      <c r="K65" s="26"/>
      <c r="L65" s="26"/>
      <c r="M65" s="27"/>
      <c r="O65" s="87"/>
      <c r="P65" s="87"/>
      <c r="Q65" s="87"/>
      <c r="R65" s="87"/>
      <c r="S65" s="87"/>
      <c r="T65" s="87"/>
      <c r="U65" s="87"/>
      <c r="V65" s="87"/>
      <c r="W65" s="87"/>
      <c r="X65" s="87"/>
    </row>
    <row r="66" spans="2:24" hidden="1" x14ac:dyDescent="0.25">
      <c r="B66" s="19" t="s">
        <v>16</v>
      </c>
      <c r="C66" s="25"/>
      <c r="D66" s="26"/>
      <c r="E66" s="26"/>
      <c r="F66" s="26"/>
      <c r="G66" s="26"/>
      <c r="H66" s="26"/>
      <c r="I66" s="26"/>
      <c r="J66" s="26"/>
      <c r="K66" s="26"/>
      <c r="L66" s="26"/>
      <c r="M66" s="27"/>
      <c r="O66" s="87"/>
      <c r="P66" s="87"/>
      <c r="Q66" s="87"/>
      <c r="R66" s="87"/>
      <c r="S66" s="87"/>
      <c r="T66" s="87"/>
      <c r="U66" s="87"/>
      <c r="V66" s="87"/>
      <c r="W66" s="87"/>
      <c r="X66" s="87"/>
    </row>
    <row r="67" spans="2:24" hidden="1" x14ac:dyDescent="0.25">
      <c r="B67" s="19" t="s">
        <v>11</v>
      </c>
      <c r="C67" s="25">
        <v>779701.5</v>
      </c>
      <c r="D67" s="26">
        <v>534369</v>
      </c>
      <c r="E67" s="26">
        <v>521521</v>
      </c>
      <c r="F67" s="26">
        <v>286175</v>
      </c>
      <c r="G67" s="26">
        <v>112162</v>
      </c>
      <c r="H67" s="26">
        <v>83350</v>
      </c>
      <c r="I67" s="26">
        <v>83850</v>
      </c>
      <c r="J67" s="26">
        <v>83350</v>
      </c>
      <c r="K67" s="26">
        <v>85800</v>
      </c>
      <c r="L67" s="26">
        <f t="shared" ref="L67:M69" si="26">K67</f>
        <v>85800</v>
      </c>
      <c r="M67" s="27">
        <f t="shared" si="26"/>
        <v>85800</v>
      </c>
      <c r="O67" s="87"/>
      <c r="P67" s="87"/>
      <c r="Q67" s="87"/>
      <c r="R67" s="87"/>
      <c r="S67" s="87"/>
      <c r="T67" s="87"/>
      <c r="U67" s="87"/>
      <c r="V67" s="87"/>
      <c r="W67" s="87"/>
      <c r="X67" s="87"/>
    </row>
    <row r="68" spans="2:24" hidden="1" x14ac:dyDescent="0.25">
      <c r="B68" s="19" t="s">
        <v>12</v>
      </c>
      <c r="C68" s="25">
        <v>685098</v>
      </c>
      <c r="D68" s="26">
        <v>598760</v>
      </c>
      <c r="E68" s="26">
        <v>592978</v>
      </c>
      <c r="F68" s="26">
        <v>322118</v>
      </c>
      <c r="G68" s="26">
        <v>238162</v>
      </c>
      <c r="H68" s="26">
        <v>244962</v>
      </c>
      <c r="I68" s="26">
        <v>221900</v>
      </c>
      <c r="J68" s="26">
        <v>224050</v>
      </c>
      <c r="K68" s="26">
        <v>220800</v>
      </c>
      <c r="L68" s="26">
        <f t="shared" si="26"/>
        <v>220800</v>
      </c>
      <c r="M68" s="27">
        <f t="shared" si="26"/>
        <v>220800</v>
      </c>
      <c r="O68" s="87"/>
      <c r="P68" s="87"/>
      <c r="Q68" s="87"/>
      <c r="R68" s="87"/>
      <c r="S68" s="87"/>
      <c r="T68" s="87"/>
      <c r="U68" s="87"/>
      <c r="V68" s="87"/>
      <c r="W68" s="87"/>
      <c r="X68" s="87"/>
    </row>
    <row r="69" spans="2:24" hidden="1" x14ac:dyDescent="0.25">
      <c r="B69" s="19" t="s">
        <v>13</v>
      </c>
      <c r="C69" s="25">
        <v>676393.22</v>
      </c>
      <c r="D69" s="26">
        <v>562476</v>
      </c>
      <c r="E69" s="26">
        <v>535047</v>
      </c>
      <c r="F69" s="26">
        <v>328035</v>
      </c>
      <c r="G69" s="26">
        <v>236996</v>
      </c>
      <c r="H69" s="26">
        <v>238415</v>
      </c>
      <c r="I69" s="26">
        <v>218682</v>
      </c>
      <c r="J69" s="26">
        <v>214563</v>
      </c>
      <c r="K69" s="26">
        <v>190458</v>
      </c>
      <c r="L69" s="26">
        <f t="shared" si="26"/>
        <v>190458</v>
      </c>
      <c r="M69" s="27">
        <f t="shared" si="26"/>
        <v>190458</v>
      </c>
      <c r="O69" s="87"/>
      <c r="P69" s="87"/>
      <c r="Q69" s="87"/>
      <c r="R69" s="87"/>
      <c r="S69" s="87"/>
      <c r="T69" s="87"/>
      <c r="U69" s="87"/>
      <c r="V69" s="87"/>
      <c r="W69" s="87"/>
      <c r="X69" s="87"/>
    </row>
    <row r="70" spans="2:24" hidden="1" x14ac:dyDescent="0.25">
      <c r="B70" s="19"/>
      <c r="C70" s="25"/>
      <c r="D70" s="26"/>
      <c r="E70" s="26"/>
      <c r="F70" s="26"/>
      <c r="G70" s="26"/>
      <c r="H70" s="26"/>
      <c r="I70" s="26"/>
      <c r="J70" s="26"/>
      <c r="K70" s="26"/>
      <c r="L70" s="26"/>
      <c r="M70" s="27"/>
      <c r="O70" s="87"/>
      <c r="P70" s="87"/>
      <c r="Q70" s="87"/>
      <c r="R70" s="87"/>
      <c r="S70" s="87"/>
      <c r="T70" s="87"/>
      <c r="U70" s="87"/>
      <c r="V70" s="87"/>
      <c r="W70" s="87"/>
      <c r="X70" s="87"/>
    </row>
    <row r="71" spans="2:24" hidden="1" x14ac:dyDescent="0.25">
      <c r="B71" s="19" t="s">
        <v>17</v>
      </c>
      <c r="C71" s="25"/>
      <c r="D71" s="26"/>
      <c r="E71" s="26"/>
      <c r="F71" s="26"/>
      <c r="G71" s="26"/>
      <c r="H71" s="26"/>
      <c r="I71" s="26"/>
      <c r="J71" s="26"/>
      <c r="K71" s="26"/>
      <c r="L71" s="26"/>
      <c r="M71" s="27"/>
      <c r="O71" s="87"/>
      <c r="P71" s="87"/>
      <c r="Q71" s="87"/>
      <c r="R71" s="87"/>
      <c r="S71" s="87"/>
      <c r="T71" s="87"/>
      <c r="U71" s="87"/>
      <c r="V71" s="87"/>
      <c r="W71" s="87"/>
      <c r="X71" s="87"/>
    </row>
    <row r="72" spans="2:24" hidden="1" x14ac:dyDescent="0.25">
      <c r="B72" s="19" t="s">
        <v>11</v>
      </c>
      <c r="C72" s="25">
        <v>113750</v>
      </c>
      <c r="D72" s="43">
        <f>C72-65000-30000</f>
        <v>18750</v>
      </c>
      <c r="E72" s="43">
        <f>D72</f>
        <v>18750</v>
      </c>
      <c r="F72" s="43">
        <f t="shared" ref="F72:M72" si="27">E72</f>
        <v>18750</v>
      </c>
      <c r="G72" s="43">
        <f t="shared" si="27"/>
        <v>18750</v>
      </c>
      <c r="H72" s="43">
        <f t="shared" si="27"/>
        <v>18750</v>
      </c>
      <c r="I72" s="43">
        <f t="shared" si="27"/>
        <v>18750</v>
      </c>
      <c r="J72" s="43">
        <f t="shared" si="27"/>
        <v>18750</v>
      </c>
      <c r="K72" s="43">
        <f t="shared" si="27"/>
        <v>18750</v>
      </c>
      <c r="L72" s="43">
        <f t="shared" si="27"/>
        <v>18750</v>
      </c>
      <c r="M72" s="44">
        <f t="shared" si="27"/>
        <v>18750</v>
      </c>
      <c r="O72" s="87"/>
      <c r="P72" s="87"/>
      <c r="Q72" s="87"/>
      <c r="R72" s="87"/>
      <c r="S72" s="87"/>
      <c r="T72" s="87"/>
      <c r="U72" s="87"/>
      <c r="V72" s="87"/>
      <c r="W72" s="87"/>
      <c r="X72" s="87"/>
    </row>
    <row r="73" spans="2:24" hidden="1" x14ac:dyDescent="0.25">
      <c r="B73" s="19" t="s">
        <v>12</v>
      </c>
      <c r="C73" s="25">
        <v>78000</v>
      </c>
      <c r="D73" s="43">
        <f>C73</f>
        <v>78000</v>
      </c>
      <c r="E73" s="43">
        <f t="shared" ref="E73:M73" si="28">D73</f>
        <v>78000</v>
      </c>
      <c r="F73" s="43">
        <f t="shared" si="28"/>
        <v>78000</v>
      </c>
      <c r="G73" s="43">
        <f t="shared" si="28"/>
        <v>78000</v>
      </c>
      <c r="H73" s="43">
        <f t="shared" si="28"/>
        <v>78000</v>
      </c>
      <c r="I73" s="43">
        <f t="shared" si="28"/>
        <v>78000</v>
      </c>
      <c r="J73" s="43">
        <f t="shared" si="28"/>
        <v>78000</v>
      </c>
      <c r="K73" s="43">
        <f t="shared" si="28"/>
        <v>78000</v>
      </c>
      <c r="L73" s="43">
        <f t="shared" si="28"/>
        <v>78000</v>
      </c>
      <c r="M73" s="44">
        <f t="shared" si="28"/>
        <v>78000</v>
      </c>
      <c r="O73" s="87"/>
      <c r="P73" s="87"/>
      <c r="Q73" s="87"/>
      <c r="R73" s="87"/>
      <c r="S73" s="87"/>
      <c r="T73" s="87"/>
      <c r="U73" s="87"/>
      <c r="V73" s="87"/>
      <c r="W73" s="87"/>
      <c r="X73" s="87"/>
    </row>
    <row r="74" spans="2:24" hidden="1" x14ac:dyDescent="0.25">
      <c r="B74" s="19" t="s">
        <v>13</v>
      </c>
      <c r="C74" s="25">
        <v>38000</v>
      </c>
      <c r="D74" s="43">
        <f>C74</f>
        <v>38000</v>
      </c>
      <c r="E74" s="43">
        <f t="shared" ref="E74:M74" si="29">D74</f>
        <v>38000</v>
      </c>
      <c r="F74" s="43">
        <f t="shared" si="29"/>
        <v>38000</v>
      </c>
      <c r="G74" s="43">
        <f t="shared" si="29"/>
        <v>38000</v>
      </c>
      <c r="H74" s="43">
        <f t="shared" si="29"/>
        <v>38000</v>
      </c>
      <c r="I74" s="43">
        <f t="shared" si="29"/>
        <v>38000</v>
      </c>
      <c r="J74" s="43">
        <f t="shared" si="29"/>
        <v>38000</v>
      </c>
      <c r="K74" s="43">
        <f t="shared" si="29"/>
        <v>38000</v>
      </c>
      <c r="L74" s="43">
        <f t="shared" si="29"/>
        <v>38000</v>
      </c>
      <c r="M74" s="44">
        <f t="shared" si="29"/>
        <v>38000</v>
      </c>
      <c r="O74" s="87"/>
      <c r="P74" s="87"/>
      <c r="Q74" s="87"/>
      <c r="R74" s="87"/>
      <c r="S74" s="87"/>
      <c r="T74" s="87"/>
      <c r="U74" s="87"/>
      <c r="V74" s="87"/>
      <c r="W74" s="87"/>
      <c r="X74" s="87"/>
    </row>
    <row r="75" spans="2:24" hidden="1" x14ac:dyDescent="0.25">
      <c r="B75" s="19"/>
      <c r="C75" s="25"/>
      <c r="D75" s="26"/>
      <c r="E75" s="26"/>
      <c r="F75" s="26"/>
      <c r="G75" s="26"/>
      <c r="H75" s="26"/>
      <c r="I75" s="26"/>
      <c r="J75" s="26"/>
      <c r="K75" s="26"/>
      <c r="L75" s="26"/>
      <c r="M75" s="27"/>
      <c r="O75" s="87"/>
      <c r="P75" s="87"/>
      <c r="Q75" s="87"/>
      <c r="R75" s="87"/>
      <c r="S75" s="87"/>
      <c r="T75" s="87"/>
      <c r="U75" s="87"/>
      <c r="V75" s="87"/>
      <c r="W75" s="87"/>
      <c r="X75" s="87"/>
    </row>
    <row r="76" spans="2:24" hidden="1" x14ac:dyDescent="0.25">
      <c r="B76" s="19" t="s">
        <v>21</v>
      </c>
      <c r="C76" s="25"/>
      <c r="D76" s="26"/>
      <c r="E76" s="26"/>
      <c r="F76" s="26"/>
      <c r="G76" s="26"/>
      <c r="H76" s="26"/>
      <c r="I76" s="26"/>
      <c r="J76" s="26"/>
      <c r="K76" s="26"/>
      <c r="L76" s="26"/>
      <c r="M76" s="27"/>
      <c r="O76" s="87"/>
      <c r="P76" s="87"/>
      <c r="Q76" s="87"/>
      <c r="R76" s="87"/>
      <c r="S76" s="87"/>
      <c r="T76" s="87"/>
      <c r="U76" s="87"/>
      <c r="V76" s="87"/>
      <c r="W76" s="87"/>
      <c r="X76" s="87"/>
    </row>
    <row r="77" spans="2:24" hidden="1" x14ac:dyDescent="0.25">
      <c r="B77" s="19" t="s">
        <v>11</v>
      </c>
      <c r="C77" s="25">
        <f>10106591-C82-C87-C92</f>
        <v>1679481.1431145817</v>
      </c>
      <c r="D77" s="45">
        <f t="shared" ref="D77:M77" si="30">C77*(1+(0.5*D25))</f>
        <v>1697535.5654030635</v>
      </c>
      <c r="E77" s="45">
        <f t="shared" si="30"/>
        <v>1716208.4566224972</v>
      </c>
      <c r="F77" s="45">
        <f t="shared" si="30"/>
        <v>1735515.8017595003</v>
      </c>
      <c r="G77" s="45">
        <f t="shared" si="30"/>
        <v>1755474.2334797347</v>
      </c>
      <c r="H77" s="45">
        <f t="shared" si="30"/>
        <v>1775662.1871647518</v>
      </c>
      <c r="I77" s="45">
        <f t="shared" si="30"/>
        <v>1796526.2178639376</v>
      </c>
      <c r="J77" s="45">
        <f t="shared" si="30"/>
        <v>1816737.1378149069</v>
      </c>
      <c r="K77" s="45">
        <f t="shared" si="30"/>
        <v>1837175.4306153245</v>
      </c>
      <c r="L77" s="45">
        <f t="shared" si="30"/>
        <v>1857384.3603520929</v>
      </c>
      <c r="M77" s="46">
        <f t="shared" si="30"/>
        <v>1877815.5883159656</v>
      </c>
      <c r="O77" s="87"/>
      <c r="P77" s="87"/>
      <c r="Q77" s="87"/>
      <c r="R77" s="87"/>
      <c r="S77" s="87"/>
      <c r="T77" s="87"/>
      <c r="U77" s="87"/>
      <c r="V77" s="87"/>
      <c r="W77" s="87"/>
      <c r="X77" s="87"/>
    </row>
    <row r="78" spans="2:24" hidden="1" x14ac:dyDescent="0.25">
      <c r="B78" s="19" t="s">
        <v>12</v>
      </c>
      <c r="C78" s="25">
        <f>1203425-C83-C88-C93</f>
        <v>138795.77565319996</v>
      </c>
      <c r="D78" s="45">
        <f t="shared" ref="D78:M78" si="31">C78*(1+(0.5*D25))</f>
        <v>140287.83024147188</v>
      </c>
      <c r="E78" s="45">
        <f t="shared" si="31"/>
        <v>141830.99637412807</v>
      </c>
      <c r="F78" s="45">
        <f t="shared" si="31"/>
        <v>143426.59508333702</v>
      </c>
      <c r="G78" s="45">
        <f t="shared" si="31"/>
        <v>145076.00092679539</v>
      </c>
      <c r="H78" s="45">
        <f t="shared" si="31"/>
        <v>146744.37493745354</v>
      </c>
      <c r="I78" s="45">
        <f t="shared" si="31"/>
        <v>148468.6213429686</v>
      </c>
      <c r="J78" s="45">
        <f t="shared" si="31"/>
        <v>150138.89333307699</v>
      </c>
      <c r="K78" s="45">
        <f t="shared" si="31"/>
        <v>151827.95588307412</v>
      </c>
      <c r="L78" s="45">
        <f t="shared" si="31"/>
        <v>153498.06339778792</v>
      </c>
      <c r="M78" s="46">
        <f t="shared" si="31"/>
        <v>155186.54209516358</v>
      </c>
      <c r="O78" s="87"/>
      <c r="P78" s="87"/>
      <c r="Q78" s="87"/>
      <c r="R78" s="87"/>
      <c r="S78" s="87"/>
      <c r="T78" s="87"/>
      <c r="U78" s="87"/>
      <c r="V78" s="87"/>
      <c r="W78" s="87"/>
      <c r="X78" s="87"/>
    </row>
    <row r="79" spans="2:24" hidden="1" x14ac:dyDescent="0.25">
      <c r="B79" s="19" t="s">
        <v>13</v>
      </c>
      <c r="C79" s="25">
        <f>1045244-C84-C89-C94</f>
        <v>129307.6189018</v>
      </c>
      <c r="D79" s="45">
        <f>C79*(1+(0.5*D25))</f>
        <v>130697.67580499436</v>
      </c>
      <c r="E79" s="45">
        <f t="shared" ref="E79:M79" si="32">D79*(1+(0.5*E25))</f>
        <v>132135.35023884929</v>
      </c>
      <c r="F79" s="45">
        <f t="shared" si="32"/>
        <v>133621.87292903636</v>
      </c>
      <c r="G79" s="45">
        <f t="shared" si="32"/>
        <v>135158.52446772027</v>
      </c>
      <c r="H79" s="45">
        <f t="shared" si="32"/>
        <v>136712.84749909907</v>
      </c>
      <c r="I79" s="45">
        <f t="shared" si="32"/>
        <v>138319.22345721346</v>
      </c>
      <c r="J79" s="45">
        <f t="shared" si="32"/>
        <v>139875.3147211071</v>
      </c>
      <c r="K79" s="45">
        <f t="shared" si="32"/>
        <v>141448.91201171957</v>
      </c>
      <c r="L79" s="45">
        <f t="shared" si="32"/>
        <v>143004.85004384848</v>
      </c>
      <c r="M79" s="46">
        <f t="shared" si="32"/>
        <v>144577.90339433079</v>
      </c>
      <c r="O79" s="87"/>
      <c r="P79" s="87"/>
      <c r="Q79" s="87"/>
      <c r="R79" s="87"/>
      <c r="S79" s="87"/>
      <c r="T79" s="87"/>
      <c r="U79" s="87"/>
      <c r="V79" s="87"/>
      <c r="W79" s="87"/>
      <c r="X79" s="87"/>
    </row>
    <row r="80" spans="2:24" hidden="1" x14ac:dyDescent="0.25">
      <c r="B80" s="19"/>
      <c r="C80" s="25"/>
      <c r="D80" s="26"/>
      <c r="E80" s="26"/>
      <c r="F80" s="26"/>
      <c r="G80" s="26"/>
      <c r="H80" s="26"/>
      <c r="I80" s="26"/>
      <c r="J80" s="26"/>
      <c r="K80" s="26"/>
      <c r="L80" s="26"/>
      <c r="M80" s="27"/>
      <c r="O80" s="87"/>
      <c r="P80" s="87"/>
      <c r="Q80" s="87"/>
      <c r="R80" s="87"/>
      <c r="S80" s="87"/>
      <c r="T80" s="87"/>
      <c r="U80" s="87"/>
      <c r="V80" s="87"/>
      <c r="W80" s="87"/>
      <c r="X80" s="87"/>
    </row>
    <row r="81" spans="2:24" hidden="1" x14ac:dyDescent="0.25">
      <c r="B81" s="19" t="s">
        <v>18</v>
      </c>
      <c r="C81" s="25"/>
      <c r="D81" s="26"/>
      <c r="E81" s="26"/>
      <c r="F81" s="26"/>
      <c r="G81" s="26"/>
      <c r="H81" s="26"/>
      <c r="I81" s="26"/>
      <c r="J81" s="26"/>
      <c r="K81" s="26"/>
      <c r="L81" s="26"/>
      <c r="M81" s="27"/>
      <c r="O81" s="87"/>
      <c r="P81" s="87"/>
      <c r="Q81" s="87"/>
      <c r="R81" s="87"/>
      <c r="S81" s="87"/>
      <c r="T81" s="87"/>
      <c r="U81" s="87"/>
      <c r="V81" s="87"/>
      <c r="W81" s="87"/>
      <c r="X81" s="87"/>
    </row>
    <row r="82" spans="2:24" hidden="1" x14ac:dyDescent="0.25">
      <c r="B82" s="19" t="s">
        <v>11</v>
      </c>
      <c r="C82" s="25">
        <v>936186</v>
      </c>
      <c r="D82" s="45">
        <f t="shared" ref="D82:M82" si="33">(D33+D34+D35+D36+D37+D38+D52)*D19</f>
        <v>924010.64509341598</v>
      </c>
      <c r="E82" s="45">
        <f t="shared" si="33"/>
        <v>941024.31059521064</v>
      </c>
      <c r="F82" s="45">
        <f t="shared" si="33"/>
        <v>957277.8834042761</v>
      </c>
      <c r="G82" s="45">
        <f t="shared" si="33"/>
        <v>974948.33378792403</v>
      </c>
      <c r="H82" s="45">
        <f t="shared" si="33"/>
        <v>991832.98425658245</v>
      </c>
      <c r="I82" s="45">
        <f t="shared" si="33"/>
        <v>1010185.6746089946</v>
      </c>
      <c r="J82" s="45">
        <f t="shared" si="33"/>
        <v>1027725.9957708229</v>
      </c>
      <c r="K82" s="45">
        <f t="shared" si="33"/>
        <v>1046787.3714749335</v>
      </c>
      <c r="L82" s="45">
        <f t="shared" si="33"/>
        <v>1066225.9383963274</v>
      </c>
      <c r="M82" s="46">
        <f t="shared" si="33"/>
        <v>1086049.1798148984</v>
      </c>
      <c r="O82" s="87"/>
      <c r="P82" s="87"/>
      <c r="Q82" s="87"/>
      <c r="R82" s="87"/>
      <c r="S82" s="87"/>
      <c r="T82" s="87"/>
      <c r="U82" s="87"/>
      <c r="V82" s="87"/>
      <c r="W82" s="87"/>
      <c r="X82" s="87"/>
    </row>
    <row r="83" spans="2:24" hidden="1" x14ac:dyDescent="0.25">
      <c r="B83" s="19" t="s">
        <v>12</v>
      </c>
      <c r="C83" s="25">
        <v>99158</v>
      </c>
      <c r="D83" s="26">
        <f t="shared" ref="D83:M83" si="34">(D53+D40+D41+D42)*D19</f>
        <v>97980.44878509226</v>
      </c>
      <c r="E83" s="26">
        <f t="shared" si="34"/>
        <v>99886.446693045771</v>
      </c>
      <c r="F83" s="26">
        <f t="shared" si="34"/>
        <v>101855.22422663022</v>
      </c>
      <c r="G83" s="26">
        <f t="shared" si="34"/>
        <v>103837.31251599229</v>
      </c>
      <c r="H83" s="26">
        <f t="shared" si="34"/>
        <v>105884.57272487524</v>
      </c>
      <c r="I83" s="26">
        <f t="shared" si="34"/>
        <v>107945.79325578202</v>
      </c>
      <c r="J83" s="26">
        <f t="shared" si="34"/>
        <v>110074.66956546737</v>
      </c>
      <c r="K83" s="26">
        <f t="shared" si="34"/>
        <v>112218.1859528526</v>
      </c>
      <c r="L83" s="26">
        <f t="shared" si="34"/>
        <v>114403.91009930175</v>
      </c>
      <c r="M83" s="27">
        <f t="shared" si="34"/>
        <v>116632.67622146584</v>
      </c>
      <c r="O83" s="87"/>
      <c r="P83" s="87"/>
      <c r="Q83" s="87"/>
      <c r="R83" s="87"/>
      <c r="S83" s="87"/>
      <c r="T83" s="87"/>
      <c r="U83" s="87"/>
      <c r="V83" s="87"/>
      <c r="W83" s="87"/>
      <c r="X83" s="87"/>
    </row>
    <row r="84" spans="2:24" hidden="1" x14ac:dyDescent="0.25">
      <c r="B84" s="19" t="s">
        <v>13</v>
      </c>
      <c r="C84" s="25">
        <v>87850</v>
      </c>
      <c r="D84" s="26">
        <f t="shared" ref="D84:M84" si="35">(D44+D45+D46+D54)*D19</f>
        <v>86871.478540569529</v>
      </c>
      <c r="E84" s="26">
        <f t="shared" si="35"/>
        <v>88563.589750254818</v>
      </c>
      <c r="F84" s="26">
        <f t="shared" si="35"/>
        <v>90311.513641811136</v>
      </c>
      <c r="G84" s="26">
        <f t="shared" si="35"/>
        <v>92071.218834139101</v>
      </c>
      <c r="H84" s="26">
        <f t="shared" si="35"/>
        <v>93888.864145146945</v>
      </c>
      <c r="I84" s="26">
        <f t="shared" si="35"/>
        <v>95718.867030965281</v>
      </c>
      <c r="J84" s="26">
        <f t="shared" si="35"/>
        <v>97609.018923656928</v>
      </c>
      <c r="K84" s="26">
        <f t="shared" si="35"/>
        <v>99512.131487593957</v>
      </c>
      <c r="L84" s="26">
        <f t="shared" si="35"/>
        <v>101452.73729073287</v>
      </c>
      <c r="M84" s="27">
        <f t="shared" si="35"/>
        <v>103431.57766267657</v>
      </c>
      <c r="O84" s="87"/>
      <c r="P84" s="87"/>
      <c r="Q84" s="87"/>
      <c r="R84" s="87"/>
      <c r="S84" s="87"/>
      <c r="T84" s="87"/>
      <c r="U84" s="87"/>
      <c r="V84" s="87"/>
      <c r="W84" s="87"/>
      <c r="X84" s="87"/>
    </row>
    <row r="85" spans="2:24" hidden="1" x14ac:dyDescent="0.25">
      <c r="B85" s="19"/>
      <c r="C85" s="25"/>
      <c r="D85" s="26"/>
      <c r="E85" s="26"/>
      <c r="F85" s="26"/>
      <c r="G85" s="26"/>
      <c r="H85" s="26"/>
      <c r="I85" s="26"/>
      <c r="J85" s="26"/>
      <c r="K85" s="26"/>
      <c r="L85" s="26"/>
      <c r="M85" s="27"/>
      <c r="O85" s="87"/>
      <c r="P85" s="87"/>
      <c r="Q85" s="87"/>
      <c r="R85" s="87"/>
      <c r="S85" s="87"/>
      <c r="T85" s="87"/>
      <c r="U85" s="87"/>
      <c r="V85" s="87"/>
      <c r="W85" s="87"/>
      <c r="X85" s="87"/>
    </row>
    <row r="86" spans="2:24" hidden="1" x14ac:dyDescent="0.25">
      <c r="B86" s="19" t="s">
        <v>19</v>
      </c>
      <c r="C86" s="25"/>
      <c r="D86" s="26"/>
      <c r="E86" s="26"/>
      <c r="F86" s="26"/>
      <c r="G86" s="26"/>
      <c r="H86" s="26"/>
      <c r="I86" s="26"/>
      <c r="J86" s="26"/>
      <c r="K86" s="26"/>
      <c r="L86" s="26"/>
      <c r="M86" s="27"/>
      <c r="O86" s="87"/>
      <c r="P86" s="87"/>
      <c r="Q86" s="87"/>
      <c r="R86" s="87"/>
      <c r="S86" s="87"/>
      <c r="T86" s="87"/>
      <c r="U86" s="87"/>
      <c r="V86" s="87"/>
      <c r="W86" s="87"/>
      <c r="X86" s="87"/>
    </row>
    <row r="87" spans="2:24" hidden="1" x14ac:dyDescent="0.25">
      <c r="B87" s="19" t="s">
        <v>11</v>
      </c>
      <c r="C87" s="47">
        <v>5266725</v>
      </c>
      <c r="D87" s="45">
        <f>C87*(1+D97)</f>
        <v>5379959.5875000004</v>
      </c>
      <c r="E87" s="45">
        <f t="shared" ref="E87:M87" si="36">D87*(1+E97)</f>
        <v>5498318.6984250005</v>
      </c>
      <c r="F87" s="45">
        <f t="shared" si="36"/>
        <v>5622030.8691395633</v>
      </c>
      <c r="G87" s="45">
        <f t="shared" si="36"/>
        <v>5751337.5791297732</v>
      </c>
      <c r="H87" s="45">
        <f t="shared" si="36"/>
        <v>5883618.3434497574</v>
      </c>
      <c r="I87" s="45">
        <f t="shared" si="36"/>
        <v>6021883.3745208271</v>
      </c>
      <c r="J87" s="45">
        <f t="shared" si="36"/>
        <v>6157375.7504475452</v>
      </c>
      <c r="K87" s="45">
        <f t="shared" si="36"/>
        <v>6295916.7048326144</v>
      </c>
      <c r="L87" s="45">
        <f t="shared" si="36"/>
        <v>6434426.872338932</v>
      </c>
      <c r="M87" s="45">
        <f t="shared" si="36"/>
        <v>6575984.2635303885</v>
      </c>
      <c r="O87" s="87"/>
      <c r="P87" s="87"/>
      <c r="Q87" s="87"/>
      <c r="R87" s="87"/>
      <c r="S87" s="87"/>
      <c r="T87" s="87"/>
      <c r="U87" s="87"/>
      <c r="V87" s="87"/>
      <c r="W87" s="87"/>
      <c r="X87" s="87"/>
    </row>
    <row r="88" spans="2:24" hidden="1" x14ac:dyDescent="0.25">
      <c r="B88" s="19" t="s">
        <v>12</v>
      </c>
      <c r="C88" s="25">
        <v>829507</v>
      </c>
      <c r="D88" s="45">
        <f>C88*(1+D97)</f>
        <v>847341.40050000011</v>
      </c>
      <c r="E88" s="45">
        <f t="shared" ref="E88:M88" si="37">D88*(1+E97)</f>
        <v>865982.91131100012</v>
      </c>
      <c r="F88" s="45">
        <f t="shared" si="37"/>
        <v>885467.52681549755</v>
      </c>
      <c r="G88" s="45">
        <f t="shared" si="37"/>
        <v>905833.27993225388</v>
      </c>
      <c r="H88" s="45">
        <f t="shared" si="37"/>
        <v>926667.44537069567</v>
      </c>
      <c r="I88" s="45">
        <f t="shared" si="37"/>
        <v>948444.13033690711</v>
      </c>
      <c r="J88" s="45">
        <f t="shared" si="37"/>
        <v>969784.12326948752</v>
      </c>
      <c r="K88" s="45">
        <f t="shared" si="37"/>
        <v>991604.26604305091</v>
      </c>
      <c r="L88" s="45">
        <f t="shared" si="37"/>
        <v>1013419.5598959981</v>
      </c>
      <c r="M88" s="45">
        <f t="shared" si="37"/>
        <v>1035714.79021371</v>
      </c>
      <c r="O88" s="87"/>
      <c r="P88" s="87"/>
      <c r="Q88" s="87"/>
      <c r="R88" s="87"/>
      <c r="S88" s="87"/>
      <c r="T88" s="87"/>
      <c r="U88" s="87"/>
      <c r="V88" s="87"/>
      <c r="W88" s="87"/>
      <c r="X88" s="87"/>
    </row>
    <row r="89" spans="2:24" hidden="1" x14ac:dyDescent="0.25">
      <c r="B89" s="19" t="s">
        <v>13</v>
      </c>
      <c r="C89" s="25">
        <v>706781</v>
      </c>
      <c r="D89" s="45">
        <f>C89*(1+D97)</f>
        <v>721976.79150000005</v>
      </c>
      <c r="E89" s="45">
        <f t="shared" ref="E89:M89" si="38">D89*(1+E97)</f>
        <v>737860.28091300011</v>
      </c>
      <c r="F89" s="45">
        <f t="shared" si="38"/>
        <v>754462.13723354263</v>
      </c>
      <c r="G89" s="45">
        <f t="shared" si="38"/>
        <v>771814.76638991409</v>
      </c>
      <c r="H89" s="45">
        <f t="shared" si="38"/>
        <v>789566.50601688202</v>
      </c>
      <c r="I89" s="45">
        <f t="shared" si="38"/>
        <v>808121.31890827883</v>
      </c>
      <c r="J89" s="45">
        <f t="shared" si="38"/>
        <v>826304.04858371511</v>
      </c>
      <c r="K89" s="45">
        <f t="shared" si="38"/>
        <v>844895.88967684866</v>
      </c>
      <c r="L89" s="45">
        <f t="shared" si="38"/>
        <v>863483.59924973932</v>
      </c>
      <c r="M89" s="45">
        <f t="shared" si="38"/>
        <v>882480.23843323358</v>
      </c>
      <c r="O89" s="87"/>
      <c r="P89" s="87"/>
      <c r="Q89" s="87"/>
      <c r="R89" s="87"/>
      <c r="S89" s="87"/>
      <c r="T89" s="87"/>
      <c r="U89" s="87"/>
      <c r="V89" s="87"/>
      <c r="W89" s="87"/>
      <c r="X89" s="87"/>
    </row>
    <row r="90" spans="2:24" hidden="1" x14ac:dyDescent="0.25">
      <c r="B90" s="19"/>
      <c r="C90" s="25"/>
      <c r="D90" s="26"/>
      <c r="E90" s="26"/>
      <c r="F90" s="26"/>
      <c r="G90" s="26"/>
      <c r="H90" s="26"/>
      <c r="I90" s="26"/>
      <c r="J90" s="26"/>
      <c r="K90" s="26"/>
      <c r="L90" s="26"/>
      <c r="M90" s="27"/>
      <c r="O90" s="87"/>
      <c r="P90" s="87"/>
      <c r="Q90" s="87"/>
      <c r="R90" s="87"/>
      <c r="S90" s="87"/>
      <c r="T90" s="87"/>
      <c r="U90" s="87"/>
      <c r="V90" s="87"/>
      <c r="W90" s="87"/>
      <c r="X90" s="87"/>
    </row>
    <row r="91" spans="2:24" hidden="1" x14ac:dyDescent="0.25">
      <c r="B91" s="19" t="s">
        <v>20</v>
      </c>
      <c r="C91" s="25"/>
      <c r="D91" s="26"/>
      <c r="E91" s="26"/>
      <c r="F91" s="26"/>
      <c r="G91" s="26"/>
      <c r="H91" s="26"/>
      <c r="I91" s="26"/>
      <c r="J91" s="26"/>
      <c r="K91" s="26"/>
      <c r="L91" s="26"/>
      <c r="M91" s="27"/>
      <c r="O91" s="87"/>
      <c r="P91" s="87"/>
      <c r="Q91" s="87"/>
      <c r="R91" s="87"/>
      <c r="S91" s="87"/>
      <c r="T91" s="87"/>
      <c r="U91" s="87"/>
      <c r="V91" s="87"/>
      <c r="W91" s="87"/>
      <c r="X91" s="87"/>
    </row>
    <row r="92" spans="2:24" hidden="1" x14ac:dyDescent="0.25">
      <c r="B92" s="19" t="s">
        <v>11</v>
      </c>
      <c r="C92" s="25">
        <f t="shared" ref="C92:M92" si="39">((C33+C34+C35+C38+(0.5*C52))*C21)+((C36+C37)*C20)</f>
        <v>2224198.8568854183</v>
      </c>
      <c r="D92" s="31">
        <f t="shared" si="39"/>
        <v>2313400.8522773818</v>
      </c>
      <c r="E92" s="31">
        <f t="shared" si="39"/>
        <v>2357597.1166041186</v>
      </c>
      <c r="F92" s="31">
        <f t="shared" si="39"/>
        <v>2398761.1666092738</v>
      </c>
      <c r="G92" s="31">
        <f t="shared" si="39"/>
        <v>2444652.7424734663</v>
      </c>
      <c r="H92" s="31">
        <f t="shared" si="39"/>
        <v>2487407.7705186596</v>
      </c>
      <c r="I92" s="31">
        <f t="shared" si="39"/>
        <v>2535059.9638272123</v>
      </c>
      <c r="J92" s="31">
        <f t="shared" si="39"/>
        <v>2579467.7020750819</v>
      </c>
      <c r="K92" s="31">
        <f t="shared" si="39"/>
        <v>2628948.34467436</v>
      </c>
      <c r="L92" s="31">
        <f t="shared" si="39"/>
        <v>2679412.9913187758</v>
      </c>
      <c r="M92" s="38">
        <f t="shared" si="39"/>
        <v>2730881.2379571265</v>
      </c>
      <c r="O92" s="87"/>
      <c r="P92" s="87"/>
      <c r="Q92" s="87"/>
      <c r="R92" s="87"/>
      <c r="S92" s="87"/>
      <c r="T92" s="87"/>
      <c r="U92" s="87"/>
      <c r="V92" s="87"/>
      <c r="W92" s="87"/>
      <c r="X92" s="87"/>
    </row>
    <row r="93" spans="2:24" hidden="1" x14ac:dyDescent="0.25">
      <c r="B93" s="19" t="s">
        <v>12</v>
      </c>
      <c r="C93" s="25">
        <f t="shared" ref="C93:M93" si="40">(C40+C41+C42+(0.5*C53))*C21</f>
        <v>135964.22434680004</v>
      </c>
      <c r="D93" s="31">
        <f t="shared" si="40"/>
        <v>139278.93583911052</v>
      </c>
      <c r="E93" s="31">
        <f t="shared" si="40"/>
        <v>141996.34129703025</v>
      </c>
      <c r="F93" s="31">
        <f t="shared" si="40"/>
        <v>144814.31804171551</v>
      </c>
      <c r="G93" s="31">
        <f t="shared" si="40"/>
        <v>147640.39411666416</v>
      </c>
      <c r="H93" s="31">
        <f t="shared" si="40"/>
        <v>150570.84656888843</v>
      </c>
      <c r="I93" s="31">
        <f t="shared" si="40"/>
        <v>153509.9442803034</v>
      </c>
      <c r="J93" s="31">
        <f t="shared" si="40"/>
        <v>156557.36807813231</v>
      </c>
      <c r="K93" s="31">
        <f t="shared" si="40"/>
        <v>159614.01284028214</v>
      </c>
      <c r="L93" s="31">
        <f t="shared" si="40"/>
        <v>162730.82996534725</v>
      </c>
      <c r="M93" s="38">
        <f t="shared" si="40"/>
        <v>165909.00849260105</v>
      </c>
      <c r="O93" s="87"/>
      <c r="P93" s="87"/>
      <c r="Q93" s="87"/>
      <c r="R93" s="87"/>
      <c r="S93" s="87"/>
      <c r="T93" s="87"/>
      <c r="U93" s="87"/>
      <c r="V93" s="87"/>
      <c r="W93" s="87"/>
      <c r="X93" s="87"/>
    </row>
    <row r="94" spans="2:24" hidden="1" x14ac:dyDescent="0.25">
      <c r="B94" s="19" t="s">
        <v>13</v>
      </c>
      <c r="C94" s="25">
        <f t="shared" ref="C94:M94" si="41">(C44+C45+C46+(0.5*C54))*C21</f>
        <v>121305.3810982</v>
      </c>
      <c r="D94" s="31">
        <f t="shared" si="41"/>
        <v>124232.55329851118</v>
      </c>
      <c r="E94" s="31">
        <f t="shared" si="41"/>
        <v>126659.06644008175</v>
      </c>
      <c r="F94" s="31">
        <f t="shared" si="41"/>
        <v>129174.54609045164</v>
      </c>
      <c r="G94" s="31">
        <f t="shared" si="41"/>
        <v>131698.14479414155</v>
      </c>
      <c r="H94" s="31">
        <f t="shared" si="41"/>
        <v>134314.07911735581</v>
      </c>
      <c r="I94" s="31">
        <f t="shared" si="41"/>
        <v>136938.652261296</v>
      </c>
      <c r="J94" s="31">
        <f t="shared" si="41"/>
        <v>139659.05830024998</v>
      </c>
      <c r="K94" s="31">
        <f t="shared" si="41"/>
        <v>142388.65069498413</v>
      </c>
      <c r="L94" s="31">
        <f t="shared" si="41"/>
        <v>145172.00772432089</v>
      </c>
      <c r="M94" s="38">
        <f t="shared" si="41"/>
        <v>148010.1922727529</v>
      </c>
      <c r="O94" s="87"/>
      <c r="P94" s="87"/>
      <c r="Q94" s="87"/>
      <c r="R94" s="87"/>
      <c r="S94" s="87"/>
      <c r="T94" s="87"/>
      <c r="U94" s="87"/>
      <c r="V94" s="87"/>
      <c r="W94" s="87"/>
      <c r="X94" s="87"/>
    </row>
    <row r="95" spans="2:24" hidden="1" x14ac:dyDescent="0.25">
      <c r="B95" s="19"/>
      <c r="C95" s="25"/>
      <c r="D95" s="26"/>
      <c r="E95" s="26"/>
      <c r="F95" s="26"/>
      <c r="G95" s="26"/>
      <c r="H95" s="26"/>
      <c r="I95" s="26"/>
      <c r="J95" s="26"/>
      <c r="K95" s="26"/>
      <c r="L95" s="26"/>
      <c r="M95" s="27"/>
      <c r="O95" s="87"/>
      <c r="P95" s="87"/>
      <c r="Q95" s="87"/>
      <c r="R95" s="87"/>
      <c r="S95" s="87"/>
      <c r="T95" s="87"/>
      <c r="U95" s="87"/>
      <c r="V95" s="87"/>
      <c r="W95" s="87"/>
      <c r="X95" s="87"/>
    </row>
    <row r="96" spans="2:24" hidden="1" x14ac:dyDescent="0.25">
      <c r="B96" s="19"/>
      <c r="C96" s="25"/>
      <c r="D96" s="26"/>
      <c r="E96" s="26"/>
      <c r="F96" s="26"/>
      <c r="G96" s="26"/>
      <c r="H96" s="26"/>
      <c r="I96" s="26"/>
      <c r="J96" s="26"/>
      <c r="K96" s="26"/>
      <c r="L96" s="26"/>
      <c r="M96" s="27"/>
      <c r="O96" s="87"/>
      <c r="P96" s="87"/>
      <c r="Q96" s="87"/>
      <c r="R96" s="87"/>
      <c r="S96" s="87"/>
      <c r="T96" s="87"/>
      <c r="U96" s="87"/>
      <c r="V96" s="87"/>
      <c r="W96" s="87"/>
      <c r="X96" s="87"/>
    </row>
    <row r="97" spans="1:24" x14ac:dyDescent="0.25">
      <c r="B97" s="20" t="s">
        <v>78</v>
      </c>
      <c r="C97" s="16">
        <v>0</v>
      </c>
      <c r="D97" s="3">
        <f>D25</f>
        <v>2.1499999999999998E-2</v>
      </c>
      <c r="E97" s="3">
        <f t="shared" ref="E97:K97" si="42">E25</f>
        <v>2.1999999999999999E-2</v>
      </c>
      <c r="F97" s="3">
        <f t="shared" si="42"/>
        <v>2.2499999999999999E-2</v>
      </c>
      <c r="G97" s="3">
        <f t="shared" si="42"/>
        <v>2.3E-2</v>
      </c>
      <c r="H97" s="3">
        <f t="shared" si="42"/>
        <v>2.3E-2</v>
      </c>
      <c r="I97" s="3">
        <f t="shared" si="42"/>
        <v>2.35E-2</v>
      </c>
      <c r="J97" s="3">
        <f t="shared" si="42"/>
        <v>2.2499999999999999E-2</v>
      </c>
      <c r="K97" s="3">
        <f t="shared" si="42"/>
        <v>2.2499999999999999E-2</v>
      </c>
      <c r="L97" s="3">
        <f>L25</f>
        <v>2.1999999999999999E-2</v>
      </c>
      <c r="M97" s="33">
        <f>M25</f>
        <v>2.1999999999999999E-2</v>
      </c>
      <c r="O97" s="87"/>
      <c r="P97" s="87"/>
      <c r="Q97" s="87"/>
      <c r="R97" s="87"/>
      <c r="S97" s="87"/>
      <c r="T97" s="87"/>
      <c r="U97" s="87"/>
      <c r="V97" s="87"/>
      <c r="W97" s="87"/>
      <c r="X97" s="87"/>
    </row>
    <row r="98" spans="1:24" x14ac:dyDescent="0.25">
      <c r="B98" s="20" t="s">
        <v>67</v>
      </c>
      <c r="C98" s="12">
        <v>1.06E-2</v>
      </c>
      <c r="D98" s="83">
        <v>3.0210000000000001E-2</v>
      </c>
      <c r="E98" s="83">
        <v>2.1999999999999999E-2</v>
      </c>
      <c r="F98" s="83">
        <v>1.4999999999999999E-2</v>
      </c>
      <c r="G98" s="83">
        <v>1.4999999999999999E-2</v>
      </c>
      <c r="H98" s="83">
        <v>2.01E-2</v>
      </c>
      <c r="I98" s="83">
        <v>0.02</v>
      </c>
      <c r="J98" s="83">
        <v>0.02</v>
      </c>
      <c r="K98" s="83">
        <v>0.02</v>
      </c>
      <c r="L98" s="83">
        <v>0.02</v>
      </c>
      <c r="M98" s="84">
        <v>2.0449999999999999E-2</v>
      </c>
      <c r="O98" s="87"/>
      <c r="P98" s="87"/>
      <c r="Q98" s="87"/>
      <c r="R98" s="87"/>
      <c r="S98" s="87"/>
      <c r="T98" s="87"/>
      <c r="U98" s="87"/>
      <c r="V98" s="87"/>
      <c r="W98" s="87"/>
      <c r="X98" s="87"/>
    </row>
    <row r="99" spans="1:24" x14ac:dyDescent="0.25">
      <c r="B99" s="20" t="s">
        <v>65</v>
      </c>
      <c r="C99" s="12">
        <v>0.03</v>
      </c>
      <c r="D99" s="83">
        <v>0</v>
      </c>
      <c r="E99" s="83">
        <v>1.4999999999999999E-2</v>
      </c>
      <c r="F99" s="83">
        <v>0</v>
      </c>
      <c r="G99" s="83">
        <v>0</v>
      </c>
      <c r="H99" s="83">
        <v>0</v>
      </c>
      <c r="I99" s="83">
        <v>0</v>
      </c>
      <c r="J99" s="83">
        <v>1.0500000000000001E-2</v>
      </c>
      <c r="K99" s="83">
        <v>2.0299999999999999E-2</v>
      </c>
      <c r="L99" s="83">
        <v>2.07E-2</v>
      </c>
      <c r="M99" s="84">
        <v>2.07E-2</v>
      </c>
      <c r="O99" s="87"/>
      <c r="P99" s="87"/>
      <c r="Q99" s="87"/>
      <c r="R99" s="87"/>
      <c r="S99" s="87"/>
      <c r="T99" s="87"/>
      <c r="U99" s="87"/>
      <c r="V99" s="87"/>
      <c r="W99" s="87"/>
      <c r="X99" s="87"/>
    </row>
    <row r="100" spans="1:24" x14ac:dyDescent="0.25">
      <c r="B100" s="20" t="s">
        <v>66</v>
      </c>
      <c r="C100" s="12">
        <v>0.03</v>
      </c>
      <c r="D100" s="83">
        <v>0</v>
      </c>
      <c r="E100" s="83">
        <v>1.4999999999999999E-2</v>
      </c>
      <c r="F100" s="83">
        <v>-0.03</v>
      </c>
      <c r="G100" s="83">
        <v>-4.4999999999999997E-3</v>
      </c>
      <c r="H100" s="83">
        <v>2.3E-2</v>
      </c>
      <c r="I100" s="83">
        <v>2.1000000000000001E-2</v>
      </c>
      <c r="J100" s="83">
        <v>2.4E-2</v>
      </c>
      <c r="K100" s="83">
        <v>1.8499999999999999E-2</v>
      </c>
      <c r="L100" s="83">
        <v>2.5000000000000001E-2</v>
      </c>
      <c r="M100" s="84">
        <v>2.5000000000000001E-2</v>
      </c>
      <c r="O100" s="87"/>
      <c r="P100" s="87"/>
      <c r="Q100" s="87"/>
      <c r="R100" s="87"/>
      <c r="S100" s="87"/>
      <c r="T100" s="87"/>
      <c r="U100" s="87"/>
      <c r="V100" s="87"/>
      <c r="W100" s="87"/>
      <c r="X100" s="87"/>
    </row>
    <row r="101" spans="1:24" ht="15.75" thickBot="1" x14ac:dyDescent="0.3">
      <c r="B101" s="20" t="s">
        <v>77</v>
      </c>
      <c r="C101" s="82">
        <v>0.1</v>
      </c>
      <c r="D101" s="85">
        <v>0.02</v>
      </c>
      <c r="E101" s="85">
        <v>0.02</v>
      </c>
      <c r="F101" s="85">
        <v>0</v>
      </c>
      <c r="G101" s="85">
        <v>1.7500000000000002E-2</v>
      </c>
      <c r="H101" s="85">
        <v>2.1600000000000001E-2</v>
      </c>
      <c r="I101" s="85">
        <v>2.23E-2</v>
      </c>
      <c r="J101" s="85">
        <v>2.12E-2</v>
      </c>
      <c r="K101" s="85">
        <v>2.1399999999999999E-2</v>
      </c>
      <c r="L101" s="85">
        <v>2.0899999999999998E-2</v>
      </c>
      <c r="M101" s="86">
        <v>2.0899999999999998E-2</v>
      </c>
      <c r="O101" s="87"/>
      <c r="P101" s="87"/>
      <c r="Q101" s="87"/>
      <c r="R101" s="87"/>
      <c r="S101" s="87"/>
      <c r="T101" s="87"/>
      <c r="U101" s="87"/>
      <c r="V101" s="87"/>
      <c r="W101" s="87"/>
      <c r="X101" s="87"/>
    </row>
    <row r="102" spans="1:24" ht="15.75" thickBot="1" x14ac:dyDescent="0.3">
      <c r="O102" s="87"/>
      <c r="P102" s="87"/>
      <c r="Q102" s="87"/>
      <c r="R102" s="87"/>
      <c r="S102" s="87"/>
      <c r="T102" s="87"/>
      <c r="U102" s="87"/>
      <c r="V102" s="87"/>
      <c r="W102" s="87"/>
      <c r="X102" s="87"/>
    </row>
    <row r="103" spans="1:24" ht="21" outlineLevel="1" x14ac:dyDescent="0.35">
      <c r="A103" s="95"/>
      <c r="B103" s="92" t="s">
        <v>68</v>
      </c>
      <c r="C103" s="93"/>
      <c r="D103" s="93"/>
      <c r="E103" s="93"/>
      <c r="F103" s="93"/>
      <c r="G103" s="93"/>
      <c r="H103" s="93"/>
      <c r="I103" s="93"/>
      <c r="J103" s="93"/>
      <c r="K103" s="93"/>
      <c r="L103" s="93"/>
      <c r="M103" s="94"/>
      <c r="N103" s="88"/>
      <c r="O103" s="89"/>
      <c r="P103" s="89"/>
      <c r="Q103" s="89"/>
      <c r="R103" s="89"/>
      <c r="S103" s="89"/>
      <c r="T103" s="89"/>
      <c r="U103" s="89"/>
    </row>
    <row r="104" spans="1:24" outlineLevel="1" x14ac:dyDescent="0.25">
      <c r="A104" s="95"/>
      <c r="B104" s="48"/>
      <c r="C104" s="49"/>
      <c r="D104" s="50"/>
      <c r="E104" s="50"/>
      <c r="F104" s="50"/>
      <c r="G104" s="50"/>
      <c r="H104" s="50"/>
      <c r="I104" s="50"/>
      <c r="J104" s="50"/>
      <c r="K104" s="50"/>
      <c r="L104" s="50"/>
      <c r="M104" s="51"/>
      <c r="N104" s="88"/>
      <c r="O104" s="89"/>
      <c r="P104" s="89"/>
      <c r="Q104" s="89"/>
      <c r="R104" s="89"/>
      <c r="S104" s="89"/>
      <c r="T104" s="89"/>
      <c r="U104" s="89"/>
    </row>
    <row r="105" spans="1:24" ht="15.75" outlineLevel="1" x14ac:dyDescent="0.25">
      <c r="A105" s="95"/>
      <c r="B105" s="48"/>
      <c r="C105" s="76">
        <v>2022</v>
      </c>
      <c r="D105" s="76">
        <v>2023</v>
      </c>
      <c r="E105" s="76">
        <v>2024</v>
      </c>
      <c r="F105" s="76">
        <v>2025</v>
      </c>
      <c r="G105" s="76">
        <v>2026</v>
      </c>
      <c r="H105" s="76">
        <v>2027</v>
      </c>
      <c r="I105" s="76">
        <v>2028</v>
      </c>
      <c r="J105" s="76">
        <v>2029</v>
      </c>
      <c r="K105" s="76">
        <v>2030</v>
      </c>
      <c r="L105" s="76">
        <v>2031</v>
      </c>
      <c r="M105" s="77">
        <v>2032</v>
      </c>
      <c r="N105" s="88"/>
      <c r="O105" s="89"/>
      <c r="P105" s="89"/>
      <c r="Q105" s="89"/>
      <c r="R105" s="89"/>
      <c r="S105" s="89"/>
      <c r="T105" s="89"/>
      <c r="U105" s="89"/>
    </row>
    <row r="106" spans="1:24" outlineLevel="1" x14ac:dyDescent="0.25">
      <c r="A106" s="95"/>
      <c r="B106" s="48" t="s">
        <v>50</v>
      </c>
      <c r="C106" s="49"/>
      <c r="D106" s="50"/>
      <c r="E106" s="50"/>
      <c r="F106" s="50"/>
      <c r="G106" s="50"/>
      <c r="H106" s="50"/>
      <c r="I106" s="50"/>
      <c r="J106" s="50"/>
      <c r="K106" s="50"/>
      <c r="L106" s="50"/>
      <c r="M106" s="51"/>
      <c r="N106" s="88"/>
      <c r="O106" s="89"/>
      <c r="P106" s="89"/>
      <c r="Q106" s="89"/>
      <c r="R106" s="89"/>
      <c r="S106" s="89"/>
      <c r="T106" s="89"/>
      <c r="U106" s="89"/>
    </row>
    <row r="107" spans="1:24" outlineLevel="1" x14ac:dyDescent="0.25">
      <c r="A107" s="95"/>
      <c r="B107" s="54" t="s">
        <v>51</v>
      </c>
      <c r="C107" s="49">
        <v>13112349</v>
      </c>
      <c r="D107" s="49">
        <f>C107*(1+D98)</f>
        <v>13508473.063290002</v>
      </c>
      <c r="E107" s="49">
        <f t="shared" ref="E107:M107" si="43">D107*(1+E98)</f>
        <v>13805659.470682383</v>
      </c>
      <c r="F107" s="49">
        <f t="shared" si="43"/>
        <v>14012744.362742618</v>
      </c>
      <c r="G107" s="49">
        <f t="shared" si="43"/>
        <v>14222935.528183756</v>
      </c>
      <c r="H107" s="49">
        <f t="shared" si="43"/>
        <v>14508816.532300251</v>
      </c>
      <c r="I107" s="49">
        <f t="shared" si="43"/>
        <v>14798992.862946255</v>
      </c>
      <c r="J107" s="49">
        <f t="shared" si="43"/>
        <v>15094972.72020518</v>
      </c>
      <c r="K107" s="49">
        <f t="shared" si="43"/>
        <v>15396872.174609285</v>
      </c>
      <c r="L107" s="49">
        <f t="shared" si="43"/>
        <v>15704809.61810147</v>
      </c>
      <c r="M107" s="55">
        <f t="shared" si="43"/>
        <v>16025972.974791646</v>
      </c>
      <c r="N107" s="88"/>
      <c r="O107" s="89"/>
      <c r="P107" s="89"/>
      <c r="Q107" s="89"/>
      <c r="R107" s="89"/>
      <c r="S107" s="89"/>
      <c r="T107" s="89"/>
      <c r="U107" s="89"/>
    </row>
    <row r="108" spans="1:24" outlineLevel="1" x14ac:dyDescent="0.25">
      <c r="A108" s="95"/>
      <c r="B108" s="54" t="s">
        <v>52</v>
      </c>
      <c r="C108" s="49">
        <f>2215024+4758206</f>
        <v>6973230</v>
      </c>
      <c r="D108" s="49">
        <f t="shared" ref="D108:M108" si="44">C108*(1+D25)</f>
        <v>7123154.4450000003</v>
      </c>
      <c r="E108" s="49">
        <f t="shared" si="44"/>
        <v>7279863.8427900001</v>
      </c>
      <c r="F108" s="49">
        <f t="shared" si="44"/>
        <v>7443660.779252775</v>
      </c>
      <c r="G108" s="49">
        <f t="shared" si="44"/>
        <v>7614864.9771755878</v>
      </c>
      <c r="H108" s="49">
        <f t="shared" si="44"/>
        <v>7790006.871650626</v>
      </c>
      <c r="I108" s="49">
        <f t="shared" si="44"/>
        <v>7973072.0331344167</v>
      </c>
      <c r="J108" s="49">
        <f t="shared" si="44"/>
        <v>8152466.1538799405</v>
      </c>
      <c r="K108" s="49">
        <f t="shared" si="44"/>
        <v>8335896.6423422387</v>
      </c>
      <c r="L108" s="49">
        <f t="shared" si="44"/>
        <v>8519286.3684737682</v>
      </c>
      <c r="M108" s="55">
        <f t="shared" si="44"/>
        <v>8706710.6685801912</v>
      </c>
      <c r="N108" s="88"/>
      <c r="O108" s="89"/>
      <c r="P108" s="89"/>
      <c r="Q108" s="89"/>
      <c r="R108" s="89"/>
      <c r="S108" s="89"/>
      <c r="T108" s="89"/>
      <c r="U108" s="89"/>
    </row>
    <row r="109" spans="1:24" outlineLevel="1" x14ac:dyDescent="0.25">
      <c r="A109" s="95"/>
      <c r="B109" s="54" t="s">
        <v>53</v>
      </c>
      <c r="C109" s="49">
        <v>2650525</v>
      </c>
      <c r="D109" s="49">
        <f>C109</f>
        <v>2650525</v>
      </c>
      <c r="E109" s="49">
        <f t="shared" ref="E109:M109" si="45">D109</f>
        <v>2650525</v>
      </c>
      <c r="F109" s="49">
        <f t="shared" si="45"/>
        <v>2650525</v>
      </c>
      <c r="G109" s="49">
        <f t="shared" si="45"/>
        <v>2650525</v>
      </c>
      <c r="H109" s="49">
        <f t="shared" si="45"/>
        <v>2650525</v>
      </c>
      <c r="I109" s="49">
        <f t="shared" si="45"/>
        <v>2650525</v>
      </c>
      <c r="J109" s="49">
        <f t="shared" si="45"/>
        <v>2650525</v>
      </c>
      <c r="K109" s="49">
        <f t="shared" si="45"/>
        <v>2650525</v>
      </c>
      <c r="L109" s="49">
        <f t="shared" si="45"/>
        <v>2650525</v>
      </c>
      <c r="M109" s="55">
        <f t="shared" si="45"/>
        <v>2650525</v>
      </c>
      <c r="N109" s="88"/>
      <c r="O109" s="89"/>
      <c r="P109" s="89"/>
      <c r="Q109" s="89"/>
      <c r="R109" s="89"/>
      <c r="S109" s="89"/>
      <c r="T109" s="89"/>
      <c r="U109" s="89"/>
    </row>
    <row r="110" spans="1:24" outlineLevel="1" x14ac:dyDescent="0.25">
      <c r="A110" s="95"/>
      <c r="B110" s="54" t="s">
        <v>56</v>
      </c>
      <c r="C110" s="49">
        <f>375000+310000+70000+300000</f>
        <v>1055000</v>
      </c>
      <c r="D110" s="49">
        <f t="shared" ref="D110:M110" si="46">C110*(1+(D25/2))</f>
        <v>1066341.25</v>
      </c>
      <c r="E110" s="49">
        <f t="shared" si="46"/>
        <v>1078071.0037499999</v>
      </c>
      <c r="F110" s="49">
        <f t="shared" si="46"/>
        <v>1090199.3025421875</v>
      </c>
      <c r="G110" s="49">
        <f t="shared" si="46"/>
        <v>1102736.5945214226</v>
      </c>
      <c r="H110" s="49">
        <f t="shared" si="46"/>
        <v>1115418.065358419</v>
      </c>
      <c r="I110" s="49">
        <f t="shared" si="46"/>
        <v>1128524.2276263803</v>
      </c>
      <c r="J110" s="49">
        <f t="shared" si="46"/>
        <v>1141220.125187177</v>
      </c>
      <c r="K110" s="49">
        <f t="shared" si="46"/>
        <v>1154058.8515955326</v>
      </c>
      <c r="L110" s="49">
        <f t="shared" si="46"/>
        <v>1166753.4989630834</v>
      </c>
      <c r="M110" s="55">
        <f t="shared" si="46"/>
        <v>1179587.7874516773</v>
      </c>
      <c r="N110" s="88"/>
      <c r="O110" s="89"/>
      <c r="P110" s="89"/>
      <c r="Q110" s="89"/>
      <c r="R110" s="89"/>
      <c r="S110" s="89"/>
      <c r="T110" s="89"/>
      <c r="U110" s="89"/>
    </row>
    <row r="111" spans="1:24" outlineLevel="1" x14ac:dyDescent="0.25">
      <c r="A111" s="95"/>
      <c r="B111" s="54" t="s">
        <v>55</v>
      </c>
      <c r="C111" s="49">
        <f>26299796-C112-C109-C110-C113-C108-C107-C114</f>
        <v>886816</v>
      </c>
      <c r="D111" s="49">
        <f t="shared" ref="D111:M111" si="47">C111*(1+(D25/2))</f>
        <v>896349.272</v>
      </c>
      <c r="E111" s="49">
        <f t="shared" si="47"/>
        <v>906209.11399199988</v>
      </c>
      <c r="F111" s="49">
        <f t="shared" si="47"/>
        <v>916403.96652440983</v>
      </c>
      <c r="G111" s="49">
        <f t="shared" si="47"/>
        <v>926942.61213944061</v>
      </c>
      <c r="H111" s="49">
        <f t="shared" si="47"/>
        <v>937602.45217904425</v>
      </c>
      <c r="I111" s="49">
        <f t="shared" si="47"/>
        <v>948619.28099214798</v>
      </c>
      <c r="J111" s="49">
        <f t="shared" si="47"/>
        <v>959291.24790330965</v>
      </c>
      <c r="K111" s="49">
        <f t="shared" si="47"/>
        <v>970083.27444222185</v>
      </c>
      <c r="L111" s="49">
        <f t="shared" si="47"/>
        <v>980754.19046108623</v>
      </c>
      <c r="M111" s="55">
        <f t="shared" si="47"/>
        <v>991542.48655615805</v>
      </c>
      <c r="N111" s="88"/>
      <c r="O111" s="89"/>
      <c r="P111" s="89"/>
      <c r="Q111" s="89"/>
      <c r="R111" s="89"/>
      <c r="S111" s="89"/>
      <c r="T111" s="89"/>
      <c r="U111" s="89"/>
    </row>
    <row r="112" spans="1:24" outlineLevel="1" x14ac:dyDescent="0.25">
      <c r="A112" s="95"/>
      <c r="B112" s="54" t="s">
        <v>54</v>
      </c>
      <c r="C112" s="49">
        <f>25412980-C109-C110-C113-C108-C107-C114</f>
        <v>550862</v>
      </c>
      <c r="D112" s="49">
        <f t="shared" ref="D112:M112" si="48">C112*(1+(D25/2))</f>
        <v>556783.76650000003</v>
      </c>
      <c r="E112" s="49">
        <f t="shared" si="48"/>
        <v>562908.38793149998</v>
      </c>
      <c r="F112" s="49">
        <f t="shared" si="48"/>
        <v>569241.10729572934</v>
      </c>
      <c r="G112" s="49">
        <f t="shared" si="48"/>
        <v>575787.38002963027</v>
      </c>
      <c r="H112" s="49">
        <f t="shared" si="48"/>
        <v>582408.93489997101</v>
      </c>
      <c r="I112" s="49">
        <f t="shared" si="48"/>
        <v>589252.23988504556</v>
      </c>
      <c r="J112" s="49">
        <f t="shared" si="48"/>
        <v>595881.32758375234</v>
      </c>
      <c r="K112" s="49">
        <f t="shared" si="48"/>
        <v>602584.99251906958</v>
      </c>
      <c r="L112" s="49">
        <f t="shared" si="48"/>
        <v>609213.42743677925</v>
      </c>
      <c r="M112" s="55">
        <f t="shared" si="48"/>
        <v>615914.77513858373</v>
      </c>
      <c r="N112" s="88"/>
      <c r="O112" s="89"/>
      <c r="P112" s="89"/>
      <c r="Q112" s="89"/>
      <c r="R112" s="89"/>
      <c r="S112" s="89"/>
      <c r="T112" s="89"/>
      <c r="U112" s="89"/>
    </row>
    <row r="113" spans="1:21" outlineLevel="1" x14ac:dyDescent="0.25">
      <c r="A113" s="95"/>
      <c r="B113" s="54" t="s">
        <v>33</v>
      </c>
      <c r="C113" s="49">
        <f>75000+215000+200000</f>
        <v>490000</v>
      </c>
      <c r="D113" s="49">
        <f>C113</f>
        <v>490000</v>
      </c>
      <c r="E113" s="49">
        <f>D113</f>
        <v>490000</v>
      </c>
      <c r="F113" s="49">
        <f t="shared" ref="F113:M113" si="49">E113</f>
        <v>490000</v>
      </c>
      <c r="G113" s="49">
        <f t="shared" si="49"/>
        <v>490000</v>
      </c>
      <c r="H113" s="49">
        <f t="shared" si="49"/>
        <v>490000</v>
      </c>
      <c r="I113" s="49">
        <f t="shared" si="49"/>
        <v>490000</v>
      </c>
      <c r="J113" s="49">
        <f t="shared" si="49"/>
        <v>490000</v>
      </c>
      <c r="K113" s="49">
        <f t="shared" si="49"/>
        <v>490000</v>
      </c>
      <c r="L113" s="49">
        <f t="shared" si="49"/>
        <v>490000</v>
      </c>
      <c r="M113" s="55">
        <f t="shared" si="49"/>
        <v>490000</v>
      </c>
      <c r="N113" s="88"/>
      <c r="O113" s="89"/>
      <c r="P113" s="89"/>
      <c r="Q113" s="89"/>
      <c r="R113" s="89"/>
      <c r="S113" s="89"/>
      <c r="T113" s="89"/>
      <c r="U113" s="89"/>
    </row>
    <row r="114" spans="1:21" outlineLevel="1" x14ac:dyDescent="0.25">
      <c r="A114" s="95"/>
      <c r="B114" s="54" t="s">
        <v>58</v>
      </c>
      <c r="C114" s="49">
        <v>581014</v>
      </c>
      <c r="D114" s="49">
        <v>45000</v>
      </c>
      <c r="E114" s="49">
        <v>0</v>
      </c>
      <c r="F114" s="49">
        <v>0</v>
      </c>
      <c r="G114" s="49">
        <v>0</v>
      </c>
      <c r="H114" s="49">
        <v>0</v>
      </c>
      <c r="I114" s="49">
        <v>0</v>
      </c>
      <c r="J114" s="49">
        <v>0</v>
      </c>
      <c r="K114" s="49">
        <v>0</v>
      </c>
      <c r="L114" s="49">
        <v>0</v>
      </c>
      <c r="M114" s="55">
        <v>0</v>
      </c>
      <c r="N114" s="88"/>
      <c r="O114" s="89"/>
      <c r="P114" s="89"/>
      <c r="Q114" s="89"/>
      <c r="R114" s="89"/>
      <c r="S114" s="89"/>
      <c r="T114" s="89"/>
      <c r="U114" s="89"/>
    </row>
    <row r="115" spans="1:21" outlineLevel="1" x14ac:dyDescent="0.25">
      <c r="A115" s="95"/>
      <c r="B115" s="56" t="s">
        <v>57</v>
      </c>
      <c r="C115" s="57">
        <f t="shared" ref="C115:M115" si="50">SUM(C107:C114)</f>
        <v>26299796</v>
      </c>
      <c r="D115" s="57">
        <f t="shared" si="50"/>
        <v>26336626.79679</v>
      </c>
      <c r="E115" s="57">
        <f t="shared" si="50"/>
        <v>26773236.819145881</v>
      </c>
      <c r="F115" s="57">
        <f t="shared" si="50"/>
        <v>27172774.51835772</v>
      </c>
      <c r="G115" s="57">
        <f t="shared" si="50"/>
        <v>27583792.092049837</v>
      </c>
      <c r="H115" s="57">
        <f t="shared" si="50"/>
        <v>28074777.856388312</v>
      </c>
      <c r="I115" s="57">
        <f t="shared" si="50"/>
        <v>28578985.644584246</v>
      </c>
      <c r="J115" s="57">
        <f t="shared" si="50"/>
        <v>29084356.57475936</v>
      </c>
      <c r="K115" s="57">
        <f t="shared" si="50"/>
        <v>29600020.935508348</v>
      </c>
      <c r="L115" s="57">
        <f t="shared" si="50"/>
        <v>30121342.103436191</v>
      </c>
      <c r="M115" s="58">
        <f t="shared" si="50"/>
        <v>30660253.692518253</v>
      </c>
      <c r="N115" s="88"/>
      <c r="O115" s="89"/>
      <c r="P115" s="89"/>
      <c r="Q115" s="89"/>
      <c r="R115" s="89"/>
      <c r="S115" s="89"/>
      <c r="T115" s="89"/>
      <c r="U115" s="89"/>
    </row>
    <row r="116" spans="1:21" outlineLevel="1" x14ac:dyDescent="0.25">
      <c r="A116" s="95"/>
      <c r="B116" s="48"/>
      <c r="C116" s="49"/>
      <c r="D116" s="49"/>
      <c r="E116" s="49"/>
      <c r="F116" s="49"/>
      <c r="G116" s="49"/>
      <c r="H116" s="49"/>
      <c r="I116" s="49"/>
      <c r="J116" s="49"/>
      <c r="K116" s="49"/>
      <c r="L116" s="49"/>
      <c r="M116" s="55"/>
      <c r="N116" s="88"/>
      <c r="O116" s="89"/>
      <c r="P116" s="89"/>
      <c r="Q116" s="89"/>
      <c r="R116" s="89"/>
      <c r="S116" s="89"/>
      <c r="T116" s="89"/>
      <c r="U116" s="89"/>
    </row>
    <row r="117" spans="1:21" outlineLevel="1" x14ac:dyDescent="0.25">
      <c r="A117" s="95"/>
      <c r="B117" s="48" t="s">
        <v>59</v>
      </c>
      <c r="C117" s="49"/>
      <c r="D117" s="49"/>
      <c r="E117" s="49"/>
      <c r="F117" s="49"/>
      <c r="G117" s="49"/>
      <c r="H117" s="49"/>
      <c r="I117" s="49"/>
      <c r="J117" s="49"/>
      <c r="K117" s="49"/>
      <c r="L117" s="49"/>
      <c r="M117" s="55"/>
      <c r="N117" s="88"/>
      <c r="O117" s="89"/>
      <c r="P117" s="89"/>
      <c r="Q117" s="89"/>
      <c r="R117" s="89"/>
      <c r="S117" s="89"/>
      <c r="T117" s="89"/>
      <c r="U117" s="89"/>
    </row>
    <row r="118" spans="1:21" outlineLevel="1" x14ac:dyDescent="0.25">
      <c r="A118" s="95"/>
      <c r="B118" s="56" t="s">
        <v>27</v>
      </c>
      <c r="C118" s="52"/>
      <c r="D118" s="52"/>
      <c r="E118" s="52"/>
      <c r="F118" s="52"/>
      <c r="G118" s="52"/>
      <c r="H118" s="52"/>
      <c r="I118" s="52"/>
      <c r="J118" s="52"/>
      <c r="K118" s="52"/>
      <c r="L118" s="52"/>
      <c r="M118" s="53"/>
      <c r="N118" s="88"/>
      <c r="O118" s="89"/>
      <c r="P118" s="89"/>
      <c r="Q118" s="89"/>
      <c r="R118" s="89"/>
      <c r="S118" s="89"/>
      <c r="T118" s="89"/>
      <c r="U118" s="89"/>
    </row>
    <row r="119" spans="1:21" outlineLevel="1" x14ac:dyDescent="0.25">
      <c r="A119" s="95"/>
      <c r="B119" s="59" t="s">
        <v>1</v>
      </c>
      <c r="C119" s="49">
        <f t="shared" ref="C119:M119" si="51">C33</f>
        <v>1192358.1467810611</v>
      </c>
      <c r="D119" s="49">
        <f t="shared" si="51"/>
        <v>1222167.1004505875</v>
      </c>
      <c r="E119" s="49">
        <f t="shared" si="51"/>
        <v>1246610.4424595991</v>
      </c>
      <c r="F119" s="49">
        <f t="shared" si="51"/>
        <v>1271542.651308791</v>
      </c>
      <c r="G119" s="49">
        <f t="shared" si="51"/>
        <v>1296973.5043349669</v>
      </c>
      <c r="H119" s="49">
        <f t="shared" si="51"/>
        <v>1322912.9744216662</v>
      </c>
      <c r="I119" s="49">
        <f t="shared" si="51"/>
        <v>1349371.2339100996</v>
      </c>
      <c r="J119" s="49">
        <f t="shared" si="51"/>
        <v>1376358.6585883016</v>
      </c>
      <c r="K119" s="49">
        <f t="shared" si="51"/>
        <v>1403885.8317600677</v>
      </c>
      <c r="L119" s="49">
        <f t="shared" si="51"/>
        <v>1431963.5483952691</v>
      </c>
      <c r="M119" s="55">
        <f t="shared" si="51"/>
        <v>1460602.8193631745</v>
      </c>
      <c r="N119" s="88"/>
      <c r="O119" s="89"/>
      <c r="P119" s="89"/>
      <c r="Q119" s="89"/>
      <c r="R119" s="89"/>
      <c r="S119" s="89"/>
      <c r="T119" s="89"/>
      <c r="U119" s="89"/>
    </row>
    <row r="120" spans="1:21" outlineLevel="1" x14ac:dyDescent="0.25">
      <c r="A120" s="95"/>
      <c r="B120" s="59" t="s">
        <v>2</v>
      </c>
      <c r="C120" s="49">
        <f t="shared" ref="C120:M120" si="52">C34</f>
        <v>1130457.92368</v>
      </c>
      <c r="D120" s="49">
        <f t="shared" si="52"/>
        <v>1153067.0821535999</v>
      </c>
      <c r="E120" s="49">
        <f t="shared" si="52"/>
        <v>1176128.4237966719</v>
      </c>
      <c r="F120" s="49">
        <f t="shared" si="52"/>
        <v>1199650.9922726054</v>
      </c>
      <c r="G120" s="49">
        <f t="shared" si="52"/>
        <v>1223644.0121180576</v>
      </c>
      <c r="H120" s="49">
        <f t="shared" si="52"/>
        <v>1248116.8923604188</v>
      </c>
      <c r="I120" s="49">
        <f t="shared" si="52"/>
        <v>1273079.2302076272</v>
      </c>
      <c r="J120" s="49">
        <f t="shared" si="52"/>
        <v>1298540.8148117797</v>
      </c>
      <c r="K120" s="49">
        <f t="shared" si="52"/>
        <v>1324511.6311080153</v>
      </c>
      <c r="L120" s="49">
        <f t="shared" si="52"/>
        <v>1351001.8637301757</v>
      </c>
      <c r="M120" s="55">
        <f t="shared" si="52"/>
        <v>1378021.9010047792</v>
      </c>
      <c r="N120" s="88"/>
      <c r="O120" s="89"/>
      <c r="P120" s="89"/>
      <c r="Q120" s="89"/>
      <c r="R120" s="89"/>
      <c r="S120" s="89"/>
      <c r="T120" s="89"/>
      <c r="U120" s="89"/>
    </row>
    <row r="121" spans="1:21" outlineLevel="1" x14ac:dyDescent="0.25">
      <c r="A121" s="95"/>
      <c r="B121" s="59" t="s">
        <v>3</v>
      </c>
      <c r="C121" s="49">
        <f t="shared" ref="C121:M121" si="53">C35</f>
        <v>517624.66919999995</v>
      </c>
      <c r="D121" s="49">
        <f t="shared" si="53"/>
        <v>527977.16258399992</v>
      </c>
      <c r="E121" s="49">
        <f t="shared" si="53"/>
        <v>535896.82002275984</v>
      </c>
      <c r="F121" s="49">
        <f t="shared" si="53"/>
        <v>546614.75642321503</v>
      </c>
      <c r="G121" s="49">
        <f t="shared" si="53"/>
        <v>554813.97776956321</v>
      </c>
      <c r="H121" s="49">
        <f t="shared" si="53"/>
        <v>565910.25732495449</v>
      </c>
      <c r="I121" s="49">
        <f t="shared" si="53"/>
        <v>574398.91118482873</v>
      </c>
      <c r="J121" s="49">
        <f t="shared" si="53"/>
        <v>585886.88940852531</v>
      </c>
      <c r="K121" s="49">
        <f t="shared" si="53"/>
        <v>594675.19274965313</v>
      </c>
      <c r="L121" s="49">
        <f t="shared" si="53"/>
        <v>603595.32064089784</v>
      </c>
      <c r="M121" s="55">
        <f t="shared" si="53"/>
        <v>612649.25045051123</v>
      </c>
      <c r="N121" s="88"/>
      <c r="O121" s="89"/>
      <c r="P121" s="89"/>
      <c r="Q121" s="89"/>
      <c r="R121" s="89"/>
      <c r="S121" s="89"/>
      <c r="T121" s="89"/>
      <c r="U121" s="89"/>
    </row>
    <row r="122" spans="1:21" outlineLevel="1" x14ac:dyDescent="0.25">
      <c r="A122" s="95"/>
      <c r="B122" s="59" t="s">
        <v>4</v>
      </c>
      <c r="C122" s="49">
        <f t="shared" ref="C122:M122" si="54">C36</f>
        <v>2772818.0281983982</v>
      </c>
      <c r="D122" s="49">
        <f t="shared" si="54"/>
        <v>2992035.2986213737</v>
      </c>
      <c r="E122" s="49">
        <f t="shared" si="54"/>
        <v>3051876.0045938012</v>
      </c>
      <c r="F122" s="49">
        <f t="shared" si="54"/>
        <v>3097654.144662708</v>
      </c>
      <c r="G122" s="49">
        <f t="shared" si="54"/>
        <v>3159607.2275559623</v>
      </c>
      <c r="H122" s="49">
        <f t="shared" si="54"/>
        <v>3207001.3359693014</v>
      </c>
      <c r="I122" s="49">
        <f t="shared" si="54"/>
        <v>3271141.3626886876</v>
      </c>
      <c r="J122" s="49">
        <f t="shared" si="54"/>
        <v>3320208.4831290175</v>
      </c>
      <c r="K122" s="49">
        <f t="shared" si="54"/>
        <v>3386612.6527915979</v>
      </c>
      <c r="L122" s="49">
        <f t="shared" si="54"/>
        <v>3454344.9058474298</v>
      </c>
      <c r="M122" s="55">
        <f t="shared" si="54"/>
        <v>3523431.8039643783</v>
      </c>
      <c r="N122" s="88"/>
      <c r="O122" s="89"/>
      <c r="P122" s="89"/>
      <c r="Q122" s="89"/>
      <c r="R122" s="89"/>
      <c r="S122" s="89"/>
      <c r="T122" s="89"/>
      <c r="U122" s="89"/>
    </row>
    <row r="123" spans="1:21" outlineLevel="1" x14ac:dyDescent="0.25">
      <c r="A123" s="95"/>
      <c r="B123" s="59" t="s">
        <v>5</v>
      </c>
      <c r="C123" s="49">
        <f t="shared" ref="C123:M123" si="55">C37</f>
        <v>3559973.4590783981</v>
      </c>
      <c r="D123" s="49">
        <f t="shared" si="55"/>
        <v>3631172.928259966</v>
      </c>
      <c r="E123" s="49">
        <f t="shared" si="55"/>
        <v>3703796.3868251652</v>
      </c>
      <c r="F123" s="49">
        <f t="shared" si="55"/>
        <v>3777872.3145616688</v>
      </c>
      <c r="G123" s="49">
        <f t="shared" si="55"/>
        <v>3853429.7608529022</v>
      </c>
      <c r="H123" s="49">
        <f t="shared" si="55"/>
        <v>3930498.3560699602</v>
      </c>
      <c r="I123" s="49">
        <f t="shared" si="55"/>
        <v>4009108.3231913596</v>
      </c>
      <c r="J123" s="49">
        <f t="shared" si="55"/>
        <v>4089290.4896551869</v>
      </c>
      <c r="K123" s="49">
        <f t="shared" si="55"/>
        <v>4171076.2994482908</v>
      </c>
      <c r="L123" s="49">
        <f t="shared" si="55"/>
        <v>4254497.8254372571</v>
      </c>
      <c r="M123" s="55">
        <f t="shared" si="55"/>
        <v>4339587.7819460025</v>
      </c>
      <c r="N123" s="88"/>
      <c r="O123" s="89"/>
      <c r="P123" s="89"/>
      <c r="Q123" s="89"/>
      <c r="R123" s="89"/>
      <c r="S123" s="89"/>
      <c r="T123" s="89"/>
      <c r="U123" s="89"/>
    </row>
    <row r="124" spans="1:21" outlineLevel="1" x14ac:dyDescent="0.25">
      <c r="A124" s="95"/>
      <c r="B124" s="59" t="s">
        <v>6</v>
      </c>
      <c r="C124" s="49">
        <f t="shared" ref="C124:M124" si="56">C38</f>
        <v>695471.72</v>
      </c>
      <c r="D124" s="49">
        <f t="shared" si="56"/>
        <v>695471.72</v>
      </c>
      <c r="E124" s="49">
        <f t="shared" si="56"/>
        <v>695471.72</v>
      </c>
      <c r="F124" s="49">
        <f t="shared" si="56"/>
        <v>695471.72</v>
      </c>
      <c r="G124" s="49">
        <f t="shared" si="56"/>
        <v>695471.72</v>
      </c>
      <c r="H124" s="49">
        <f t="shared" si="56"/>
        <v>695471.72</v>
      </c>
      <c r="I124" s="49">
        <f t="shared" si="56"/>
        <v>695471.72</v>
      </c>
      <c r="J124" s="49">
        <f t="shared" si="56"/>
        <v>695471.72</v>
      </c>
      <c r="K124" s="49">
        <f t="shared" si="56"/>
        <v>695471.72</v>
      </c>
      <c r="L124" s="49">
        <f t="shared" si="56"/>
        <v>695471.72</v>
      </c>
      <c r="M124" s="55">
        <f t="shared" si="56"/>
        <v>695471.72</v>
      </c>
      <c r="N124" s="88"/>
      <c r="O124" s="89"/>
      <c r="P124" s="89"/>
      <c r="Q124" s="89"/>
      <c r="R124" s="89"/>
      <c r="S124" s="89"/>
      <c r="T124" s="89"/>
      <c r="U124" s="89"/>
    </row>
    <row r="125" spans="1:21" outlineLevel="1" x14ac:dyDescent="0.25">
      <c r="A125" s="95"/>
      <c r="B125" s="59" t="s">
        <v>28</v>
      </c>
      <c r="C125" s="49">
        <f>C52-1463</f>
        <v>1794732</v>
      </c>
      <c r="D125" s="49">
        <f t="shared" ref="D125:M125" si="57">D52</f>
        <v>1856679.2320274159</v>
      </c>
      <c r="E125" s="49">
        <f t="shared" si="57"/>
        <v>1891191.5826315521</v>
      </c>
      <c r="F125" s="49">
        <f t="shared" si="57"/>
        <v>1924629.805140635</v>
      </c>
      <c r="G125" s="49">
        <f t="shared" si="57"/>
        <v>1960482.4612629793</v>
      </c>
      <c r="H125" s="49">
        <f t="shared" si="57"/>
        <v>1995225.5129593525</v>
      </c>
      <c r="I125" s="49">
        <f t="shared" si="57"/>
        <v>2032470.7169741895</v>
      </c>
      <c r="J125" s="49">
        <f t="shared" si="57"/>
        <v>2068569.6865094472</v>
      </c>
      <c r="K125" s="49">
        <f t="shared" si="57"/>
        <v>2107261.724102289</v>
      </c>
      <c r="L125" s="49">
        <f t="shared" si="57"/>
        <v>2146718.7819140339</v>
      </c>
      <c r="M125" s="55">
        <f t="shared" si="57"/>
        <v>2186956.0280410661</v>
      </c>
      <c r="N125" s="88"/>
      <c r="O125" s="89"/>
      <c r="P125" s="89"/>
      <c r="Q125" s="89"/>
      <c r="R125" s="89"/>
      <c r="S125" s="89"/>
      <c r="T125" s="89"/>
      <c r="U125" s="89"/>
    </row>
    <row r="126" spans="1:21" outlineLevel="1" x14ac:dyDescent="0.25">
      <c r="A126" s="95"/>
      <c r="B126" s="56" t="s">
        <v>29</v>
      </c>
      <c r="C126" s="57">
        <f>SUM(C119:C125)</f>
        <v>11663435.946937857</v>
      </c>
      <c r="D126" s="57">
        <f t="shared" ref="D126:M126" si="58">SUM(D119:D125)</f>
        <v>12078570.524096942</v>
      </c>
      <c r="E126" s="57">
        <f t="shared" si="58"/>
        <v>12300971.380329551</v>
      </c>
      <c r="F126" s="57">
        <f t="shared" si="58"/>
        <v>12513436.384369623</v>
      </c>
      <c r="G126" s="57">
        <f t="shared" si="58"/>
        <v>12744422.663894432</v>
      </c>
      <c r="H126" s="57">
        <f t="shared" si="58"/>
        <v>12965137.049105654</v>
      </c>
      <c r="I126" s="57">
        <f t="shared" si="58"/>
        <v>13205041.498156793</v>
      </c>
      <c r="J126" s="57">
        <f t="shared" si="58"/>
        <v>13434326.74210226</v>
      </c>
      <c r="K126" s="57">
        <f t="shared" si="58"/>
        <v>13683495.051959915</v>
      </c>
      <c r="L126" s="57">
        <f t="shared" si="58"/>
        <v>13937593.965965066</v>
      </c>
      <c r="M126" s="58">
        <f t="shared" si="58"/>
        <v>14196721.304769913</v>
      </c>
      <c r="N126" s="88"/>
      <c r="O126" s="89"/>
      <c r="P126" s="89"/>
      <c r="Q126" s="89"/>
      <c r="R126" s="89"/>
      <c r="S126" s="89"/>
      <c r="T126" s="89"/>
      <c r="U126" s="89"/>
    </row>
    <row r="127" spans="1:21" ht="7.5" customHeight="1" outlineLevel="1" x14ac:dyDescent="0.25">
      <c r="A127" s="95"/>
      <c r="B127" s="60"/>
      <c r="C127" s="49"/>
      <c r="D127" s="50"/>
      <c r="E127" s="50"/>
      <c r="F127" s="50"/>
      <c r="G127" s="50"/>
      <c r="H127" s="50"/>
      <c r="I127" s="50"/>
      <c r="J127" s="50"/>
      <c r="K127" s="50"/>
      <c r="L127" s="50"/>
      <c r="M127" s="51"/>
      <c r="N127" s="88"/>
      <c r="O127" s="89"/>
      <c r="P127" s="89"/>
      <c r="Q127" s="89"/>
      <c r="R127" s="89"/>
      <c r="S127" s="89"/>
      <c r="T127" s="89"/>
      <c r="U127" s="89"/>
    </row>
    <row r="128" spans="1:21" outlineLevel="1" x14ac:dyDescent="0.25">
      <c r="A128" s="95"/>
      <c r="B128" s="56" t="s">
        <v>30</v>
      </c>
      <c r="C128" s="49">
        <f t="shared" ref="C128:M128" si="59">C57</f>
        <v>209284</v>
      </c>
      <c r="D128" s="49">
        <f t="shared" si="59"/>
        <v>213783.60600000003</v>
      </c>
      <c r="E128" s="49">
        <f t="shared" si="59"/>
        <v>218486.84533200003</v>
      </c>
      <c r="F128" s="49">
        <f t="shared" si="59"/>
        <v>223402.79935197002</v>
      </c>
      <c r="G128" s="49">
        <f t="shared" si="59"/>
        <v>228541.06373706533</v>
      </c>
      <c r="H128" s="49">
        <f t="shared" si="59"/>
        <v>233797.50820301782</v>
      </c>
      <c r="I128" s="49">
        <f t="shared" si="59"/>
        <v>239291.74964578875</v>
      </c>
      <c r="J128" s="49">
        <f t="shared" si="59"/>
        <v>244675.814012819</v>
      </c>
      <c r="K128" s="49">
        <f t="shared" si="59"/>
        <v>250181.01982810741</v>
      </c>
      <c r="L128" s="49">
        <f t="shared" si="59"/>
        <v>255685.00226432577</v>
      </c>
      <c r="M128" s="55">
        <f t="shared" si="59"/>
        <v>261310.07231414094</v>
      </c>
      <c r="N128" s="88"/>
      <c r="O128" s="89"/>
      <c r="P128" s="89"/>
      <c r="Q128" s="89"/>
      <c r="R128" s="89"/>
      <c r="S128" s="89"/>
      <c r="T128" s="89"/>
      <c r="U128" s="89"/>
    </row>
    <row r="129" spans="1:21" ht="7.5" customHeight="1" outlineLevel="1" x14ac:dyDescent="0.25">
      <c r="A129" s="95"/>
      <c r="B129" s="60"/>
      <c r="C129" s="49"/>
      <c r="D129" s="49"/>
      <c r="E129" s="49"/>
      <c r="F129" s="49"/>
      <c r="G129" s="49"/>
      <c r="H129" s="49"/>
      <c r="I129" s="49"/>
      <c r="J129" s="49"/>
      <c r="K129" s="49"/>
      <c r="L129" s="49"/>
      <c r="M129" s="55"/>
      <c r="N129" s="88"/>
      <c r="O129" s="89"/>
      <c r="P129" s="89"/>
      <c r="Q129" s="89"/>
      <c r="R129" s="89"/>
      <c r="S129" s="89"/>
      <c r="T129" s="89"/>
      <c r="U129" s="89"/>
    </row>
    <row r="130" spans="1:21" outlineLevel="1" x14ac:dyDescent="0.25">
      <c r="A130" s="95"/>
      <c r="B130" s="56" t="s">
        <v>31</v>
      </c>
      <c r="C130" s="49">
        <f>C62</f>
        <v>3427033</v>
      </c>
      <c r="D130" s="49">
        <f>D62+45000</f>
        <v>3175761.6405000002</v>
      </c>
      <c r="E130" s="49">
        <f t="shared" ref="E130:M130" si="60">E62</f>
        <v>3199638.3965910003</v>
      </c>
      <c r="F130" s="49">
        <f t="shared" si="60"/>
        <v>3271630.2605142975</v>
      </c>
      <c r="G130" s="49">
        <f t="shared" si="60"/>
        <v>3346877.7565061259</v>
      </c>
      <c r="H130" s="49">
        <f t="shared" si="60"/>
        <v>3423855.9449057663</v>
      </c>
      <c r="I130" s="49">
        <f t="shared" si="60"/>
        <v>3504316.5596110523</v>
      </c>
      <c r="J130" s="49">
        <f t="shared" si="60"/>
        <v>3583163.682202301</v>
      </c>
      <c r="K130" s="49">
        <f t="shared" si="60"/>
        <v>3663784.8650518525</v>
      </c>
      <c r="L130" s="49">
        <f t="shared" si="60"/>
        <v>3744388.1320829932</v>
      </c>
      <c r="M130" s="55">
        <f t="shared" si="60"/>
        <v>3826764.6709888191</v>
      </c>
      <c r="N130" s="88"/>
      <c r="O130" s="89"/>
      <c r="P130" s="89"/>
      <c r="Q130" s="89"/>
      <c r="R130" s="89"/>
      <c r="S130" s="89"/>
      <c r="T130" s="89"/>
      <c r="U130" s="89"/>
    </row>
    <row r="131" spans="1:21" ht="7.5" customHeight="1" outlineLevel="1" x14ac:dyDescent="0.25">
      <c r="A131" s="95"/>
      <c r="B131" s="60"/>
      <c r="C131" s="49"/>
      <c r="D131" s="50"/>
      <c r="E131" s="50"/>
      <c r="F131" s="50"/>
      <c r="G131" s="50"/>
      <c r="H131" s="50"/>
      <c r="I131" s="50"/>
      <c r="J131" s="50"/>
      <c r="K131" s="50"/>
      <c r="L131" s="50"/>
      <c r="M131" s="51"/>
      <c r="N131" s="88"/>
      <c r="O131" s="89"/>
      <c r="P131" s="89"/>
      <c r="Q131" s="89"/>
      <c r="R131" s="89"/>
      <c r="S131" s="89"/>
      <c r="T131" s="89"/>
      <c r="U131" s="89"/>
    </row>
    <row r="132" spans="1:21" outlineLevel="1" x14ac:dyDescent="0.25">
      <c r="A132" s="95"/>
      <c r="B132" s="56" t="s">
        <v>32</v>
      </c>
      <c r="C132" s="49">
        <f t="shared" ref="C132:M132" si="61">C67</f>
        <v>779701.5</v>
      </c>
      <c r="D132" s="49">
        <f t="shared" si="61"/>
        <v>534369</v>
      </c>
      <c r="E132" s="49">
        <f t="shared" si="61"/>
        <v>521521</v>
      </c>
      <c r="F132" s="49">
        <f t="shared" si="61"/>
        <v>286175</v>
      </c>
      <c r="G132" s="49">
        <f t="shared" si="61"/>
        <v>112162</v>
      </c>
      <c r="H132" s="49">
        <f t="shared" si="61"/>
        <v>83350</v>
      </c>
      <c r="I132" s="49">
        <f t="shared" si="61"/>
        <v>83850</v>
      </c>
      <c r="J132" s="49">
        <f t="shared" si="61"/>
        <v>83350</v>
      </c>
      <c r="K132" s="49">
        <f t="shared" si="61"/>
        <v>85800</v>
      </c>
      <c r="L132" s="49">
        <f t="shared" si="61"/>
        <v>85800</v>
      </c>
      <c r="M132" s="55">
        <f t="shared" si="61"/>
        <v>85800</v>
      </c>
      <c r="N132" s="88"/>
      <c r="O132" s="89"/>
      <c r="P132" s="89"/>
      <c r="Q132" s="89"/>
      <c r="R132" s="89"/>
      <c r="S132" s="89"/>
      <c r="T132" s="89"/>
      <c r="U132" s="89"/>
    </row>
    <row r="133" spans="1:21" ht="7.5" customHeight="1" outlineLevel="1" x14ac:dyDescent="0.25">
      <c r="A133" s="95"/>
      <c r="B133" s="60"/>
      <c r="C133" s="49"/>
      <c r="D133" s="50"/>
      <c r="E133" s="50"/>
      <c r="F133" s="50"/>
      <c r="G133" s="50"/>
      <c r="H133" s="50"/>
      <c r="I133" s="50"/>
      <c r="J133" s="50"/>
      <c r="K133" s="50"/>
      <c r="L133" s="50"/>
      <c r="M133" s="51"/>
      <c r="N133" s="88"/>
      <c r="O133" s="89"/>
      <c r="P133" s="89"/>
      <c r="Q133" s="89"/>
      <c r="R133" s="89"/>
      <c r="S133" s="89"/>
      <c r="T133" s="89"/>
      <c r="U133" s="89"/>
    </row>
    <row r="134" spans="1:21" outlineLevel="1" x14ac:dyDescent="0.25">
      <c r="A134" s="95"/>
      <c r="B134" s="56" t="s">
        <v>33</v>
      </c>
      <c r="C134" s="49">
        <f t="shared" ref="C134:M134" si="62">C72</f>
        <v>113750</v>
      </c>
      <c r="D134" s="49">
        <f t="shared" si="62"/>
        <v>18750</v>
      </c>
      <c r="E134" s="49">
        <f t="shared" si="62"/>
        <v>18750</v>
      </c>
      <c r="F134" s="49">
        <f t="shared" si="62"/>
        <v>18750</v>
      </c>
      <c r="G134" s="49">
        <f t="shared" si="62"/>
        <v>18750</v>
      </c>
      <c r="H134" s="49">
        <f t="shared" si="62"/>
        <v>18750</v>
      </c>
      <c r="I134" s="49">
        <f t="shared" si="62"/>
        <v>18750</v>
      </c>
      <c r="J134" s="49">
        <f t="shared" si="62"/>
        <v>18750</v>
      </c>
      <c r="K134" s="49">
        <f t="shared" si="62"/>
        <v>18750</v>
      </c>
      <c r="L134" s="49">
        <f t="shared" si="62"/>
        <v>18750</v>
      </c>
      <c r="M134" s="55">
        <f t="shared" si="62"/>
        <v>18750</v>
      </c>
      <c r="N134" s="88"/>
      <c r="O134" s="89"/>
      <c r="P134" s="89"/>
      <c r="Q134" s="89"/>
      <c r="R134" s="89"/>
      <c r="S134" s="89"/>
      <c r="T134" s="89"/>
      <c r="U134" s="89"/>
    </row>
    <row r="135" spans="1:21" ht="7.5" customHeight="1" outlineLevel="1" x14ac:dyDescent="0.25">
      <c r="A135" s="95"/>
      <c r="B135" s="60"/>
      <c r="C135" s="49"/>
      <c r="D135" s="50"/>
      <c r="E135" s="50"/>
      <c r="F135" s="50"/>
      <c r="G135" s="50"/>
      <c r="H135" s="50"/>
      <c r="I135" s="50"/>
      <c r="J135" s="50"/>
      <c r="K135" s="50"/>
      <c r="L135" s="50"/>
      <c r="M135" s="51"/>
      <c r="N135" s="88"/>
      <c r="O135" s="89"/>
      <c r="P135" s="89"/>
      <c r="Q135" s="89"/>
      <c r="R135" s="89"/>
      <c r="S135" s="89"/>
      <c r="T135" s="89"/>
      <c r="U135" s="89"/>
    </row>
    <row r="136" spans="1:21" outlineLevel="1" x14ac:dyDescent="0.25">
      <c r="A136" s="95"/>
      <c r="B136" s="56" t="s">
        <v>34</v>
      </c>
      <c r="C136" s="49"/>
      <c r="D136" s="50"/>
      <c r="E136" s="50"/>
      <c r="F136" s="50"/>
      <c r="G136" s="50"/>
      <c r="H136" s="50"/>
      <c r="I136" s="50"/>
      <c r="J136" s="50"/>
      <c r="K136" s="50"/>
      <c r="L136" s="50"/>
      <c r="M136" s="51"/>
      <c r="N136" s="88"/>
      <c r="O136" s="89"/>
      <c r="P136" s="89"/>
      <c r="Q136" s="89"/>
      <c r="R136" s="89"/>
      <c r="S136" s="89"/>
      <c r="T136" s="89"/>
      <c r="U136" s="89"/>
    </row>
    <row r="137" spans="1:21" outlineLevel="1" x14ac:dyDescent="0.25">
      <c r="A137" s="95"/>
      <c r="B137" s="59" t="s">
        <v>35</v>
      </c>
      <c r="C137" s="49">
        <f t="shared" ref="C137:M137" si="63">C87</f>
        <v>5266725</v>
      </c>
      <c r="D137" s="49">
        <f t="shared" si="63"/>
        <v>5379959.5875000004</v>
      </c>
      <c r="E137" s="49">
        <f t="shared" si="63"/>
        <v>5498318.6984250005</v>
      </c>
      <c r="F137" s="49">
        <f t="shared" si="63"/>
        <v>5622030.8691395633</v>
      </c>
      <c r="G137" s="49">
        <f t="shared" si="63"/>
        <v>5751337.5791297732</v>
      </c>
      <c r="H137" s="49">
        <f t="shared" si="63"/>
        <v>5883618.3434497574</v>
      </c>
      <c r="I137" s="49">
        <f t="shared" si="63"/>
        <v>6021883.3745208271</v>
      </c>
      <c r="J137" s="49">
        <f t="shared" si="63"/>
        <v>6157375.7504475452</v>
      </c>
      <c r="K137" s="49">
        <f t="shared" si="63"/>
        <v>6295916.7048326144</v>
      </c>
      <c r="L137" s="49">
        <f t="shared" si="63"/>
        <v>6434426.872338932</v>
      </c>
      <c r="M137" s="55">
        <f t="shared" si="63"/>
        <v>6575984.2635303885</v>
      </c>
      <c r="N137" s="88"/>
      <c r="O137" s="89"/>
      <c r="P137" s="89"/>
      <c r="Q137" s="89"/>
      <c r="R137" s="89"/>
      <c r="S137" s="89"/>
      <c r="T137" s="89"/>
      <c r="U137" s="89"/>
    </row>
    <row r="138" spans="1:21" outlineLevel="1" x14ac:dyDescent="0.25">
      <c r="A138" s="95"/>
      <c r="B138" s="59" t="s">
        <v>18</v>
      </c>
      <c r="C138" s="49">
        <f t="shared" ref="C138:M138" si="64">C82</f>
        <v>936186</v>
      </c>
      <c r="D138" s="49">
        <f t="shared" si="64"/>
        <v>924010.64509341598</v>
      </c>
      <c r="E138" s="49">
        <f t="shared" si="64"/>
        <v>941024.31059521064</v>
      </c>
      <c r="F138" s="49">
        <f t="shared" si="64"/>
        <v>957277.8834042761</v>
      </c>
      <c r="G138" s="49">
        <f t="shared" si="64"/>
        <v>974948.33378792403</v>
      </c>
      <c r="H138" s="49">
        <f t="shared" si="64"/>
        <v>991832.98425658245</v>
      </c>
      <c r="I138" s="49">
        <f t="shared" si="64"/>
        <v>1010185.6746089946</v>
      </c>
      <c r="J138" s="49">
        <f t="shared" si="64"/>
        <v>1027725.9957708229</v>
      </c>
      <c r="K138" s="49">
        <f t="shared" si="64"/>
        <v>1046787.3714749335</v>
      </c>
      <c r="L138" s="49">
        <f t="shared" si="64"/>
        <v>1066225.9383963274</v>
      </c>
      <c r="M138" s="55">
        <f t="shared" si="64"/>
        <v>1086049.1798148984</v>
      </c>
      <c r="N138" s="88"/>
      <c r="O138" s="89"/>
      <c r="P138" s="89"/>
      <c r="Q138" s="89"/>
      <c r="R138" s="89"/>
      <c r="S138" s="89"/>
      <c r="T138" s="89"/>
      <c r="U138" s="89"/>
    </row>
    <row r="139" spans="1:21" outlineLevel="1" x14ac:dyDescent="0.25">
      <c r="A139" s="95"/>
      <c r="B139" s="59" t="s">
        <v>36</v>
      </c>
      <c r="C139" s="49">
        <f t="shared" ref="C139:M139" si="65">C92</f>
        <v>2224198.8568854183</v>
      </c>
      <c r="D139" s="49">
        <f t="shared" si="65"/>
        <v>2313400.8522773818</v>
      </c>
      <c r="E139" s="49">
        <f t="shared" si="65"/>
        <v>2357597.1166041186</v>
      </c>
      <c r="F139" s="49">
        <f t="shared" si="65"/>
        <v>2398761.1666092738</v>
      </c>
      <c r="G139" s="49">
        <f t="shared" si="65"/>
        <v>2444652.7424734663</v>
      </c>
      <c r="H139" s="49">
        <f t="shared" si="65"/>
        <v>2487407.7705186596</v>
      </c>
      <c r="I139" s="49">
        <f t="shared" si="65"/>
        <v>2535059.9638272123</v>
      </c>
      <c r="J139" s="49">
        <f t="shared" si="65"/>
        <v>2579467.7020750819</v>
      </c>
      <c r="K139" s="49">
        <f t="shared" si="65"/>
        <v>2628948.34467436</v>
      </c>
      <c r="L139" s="49">
        <f t="shared" si="65"/>
        <v>2679412.9913187758</v>
      </c>
      <c r="M139" s="55">
        <f t="shared" si="65"/>
        <v>2730881.2379571265</v>
      </c>
      <c r="N139" s="88"/>
      <c r="O139" s="89"/>
      <c r="P139" s="89"/>
      <c r="Q139" s="89"/>
      <c r="R139" s="89"/>
      <c r="S139" s="89"/>
      <c r="T139" s="89"/>
      <c r="U139" s="89"/>
    </row>
    <row r="140" spans="1:21" outlineLevel="1" x14ac:dyDescent="0.25">
      <c r="A140" s="95"/>
      <c r="B140" s="59" t="s">
        <v>37</v>
      </c>
      <c r="C140" s="49">
        <f t="shared" ref="C140:M140" si="66">C77</f>
        <v>1679481.1431145817</v>
      </c>
      <c r="D140" s="49">
        <f t="shared" si="66"/>
        <v>1697535.5654030635</v>
      </c>
      <c r="E140" s="49">
        <f t="shared" si="66"/>
        <v>1716208.4566224972</v>
      </c>
      <c r="F140" s="49">
        <f t="shared" si="66"/>
        <v>1735515.8017595003</v>
      </c>
      <c r="G140" s="49">
        <f t="shared" si="66"/>
        <v>1755474.2334797347</v>
      </c>
      <c r="H140" s="49">
        <f t="shared" si="66"/>
        <v>1775662.1871647518</v>
      </c>
      <c r="I140" s="49">
        <f t="shared" si="66"/>
        <v>1796526.2178639376</v>
      </c>
      <c r="J140" s="49">
        <f t="shared" si="66"/>
        <v>1816737.1378149069</v>
      </c>
      <c r="K140" s="49">
        <f t="shared" si="66"/>
        <v>1837175.4306153245</v>
      </c>
      <c r="L140" s="49">
        <f t="shared" si="66"/>
        <v>1857384.3603520929</v>
      </c>
      <c r="M140" s="55">
        <f t="shared" si="66"/>
        <v>1877815.5883159656</v>
      </c>
      <c r="N140" s="88"/>
      <c r="O140" s="89"/>
      <c r="P140" s="89"/>
      <c r="Q140" s="89"/>
      <c r="R140" s="89"/>
      <c r="S140" s="89"/>
      <c r="T140" s="89"/>
      <c r="U140" s="89"/>
    </row>
    <row r="141" spans="1:21" outlineLevel="1" x14ac:dyDescent="0.25">
      <c r="A141" s="95"/>
      <c r="B141" s="56" t="s">
        <v>38</v>
      </c>
      <c r="C141" s="49">
        <f>SUM(C137:C140)</f>
        <v>10106591</v>
      </c>
      <c r="D141" s="49">
        <f t="shared" ref="D141:M141" si="67">SUM(D137:D140)</f>
        <v>10314906.650273861</v>
      </c>
      <c r="E141" s="49">
        <f t="shared" si="67"/>
        <v>10513148.582246825</v>
      </c>
      <c r="F141" s="49">
        <f t="shared" si="67"/>
        <v>10713585.720912613</v>
      </c>
      <c r="G141" s="49">
        <f t="shared" si="67"/>
        <v>10926412.888870899</v>
      </c>
      <c r="H141" s="49">
        <f t="shared" si="67"/>
        <v>11138521.285389751</v>
      </c>
      <c r="I141" s="49">
        <f t="shared" si="67"/>
        <v>11363655.230820971</v>
      </c>
      <c r="J141" s="49">
        <f t="shared" si="67"/>
        <v>11581306.586108359</v>
      </c>
      <c r="K141" s="49">
        <f t="shared" si="67"/>
        <v>11808827.851597233</v>
      </c>
      <c r="L141" s="49">
        <f t="shared" si="67"/>
        <v>12037450.162406128</v>
      </c>
      <c r="M141" s="55">
        <f t="shared" si="67"/>
        <v>12270730.269618379</v>
      </c>
      <c r="N141" s="88"/>
      <c r="O141" s="89"/>
      <c r="P141" s="89"/>
      <c r="Q141" s="89"/>
      <c r="R141" s="89"/>
      <c r="S141" s="89"/>
      <c r="T141" s="89"/>
      <c r="U141" s="89"/>
    </row>
    <row r="142" spans="1:21" ht="7.5" customHeight="1" outlineLevel="1" x14ac:dyDescent="0.25">
      <c r="A142" s="95"/>
      <c r="B142" s="60"/>
      <c r="C142" s="49"/>
      <c r="D142" s="50"/>
      <c r="E142" s="50"/>
      <c r="F142" s="50"/>
      <c r="G142" s="50"/>
      <c r="H142" s="50"/>
      <c r="I142" s="50"/>
      <c r="J142" s="50"/>
      <c r="K142" s="50"/>
      <c r="L142" s="50"/>
      <c r="M142" s="51"/>
      <c r="N142" s="88"/>
      <c r="O142" s="89"/>
      <c r="P142" s="89"/>
      <c r="Q142" s="89"/>
      <c r="R142" s="89"/>
      <c r="S142" s="89"/>
      <c r="T142" s="89"/>
      <c r="U142" s="89"/>
    </row>
    <row r="143" spans="1:21" outlineLevel="1" x14ac:dyDescent="0.25">
      <c r="A143" s="95"/>
      <c r="B143" s="61" t="s">
        <v>60</v>
      </c>
      <c r="C143" s="57">
        <f>C141+C134+C132+C130+C128+C126+1</f>
        <v>26299796.446937859</v>
      </c>
      <c r="D143" s="57">
        <f t="shared" ref="D143:M143" si="68">D141+D134+D132+D130+D128+D126</f>
        <v>26336141.420870803</v>
      </c>
      <c r="E143" s="57">
        <f t="shared" si="68"/>
        <v>26772516.204499379</v>
      </c>
      <c r="F143" s="57">
        <f t="shared" si="68"/>
        <v>27026980.165148504</v>
      </c>
      <c r="G143" s="57">
        <f t="shared" si="68"/>
        <v>27377166.373008519</v>
      </c>
      <c r="H143" s="57">
        <f t="shared" si="68"/>
        <v>27863411.78760419</v>
      </c>
      <c r="I143" s="57">
        <f t="shared" si="68"/>
        <v>28414905.038234606</v>
      </c>
      <c r="J143" s="57">
        <f t="shared" si="68"/>
        <v>28945572.824425738</v>
      </c>
      <c r="K143" s="57">
        <f t="shared" si="68"/>
        <v>29510838.788437106</v>
      </c>
      <c r="L143" s="57">
        <f t="shared" si="68"/>
        <v>30079667.262718514</v>
      </c>
      <c r="M143" s="58">
        <f t="shared" si="68"/>
        <v>30660076.317691252</v>
      </c>
      <c r="N143" s="88"/>
      <c r="O143" s="89"/>
      <c r="P143" s="89"/>
      <c r="Q143" s="89"/>
      <c r="R143" s="89"/>
      <c r="S143" s="89"/>
      <c r="T143" s="89"/>
      <c r="U143" s="89"/>
    </row>
    <row r="144" spans="1:21" ht="15.75" outlineLevel="1" thickBot="1" x14ac:dyDescent="0.3">
      <c r="A144" s="95"/>
      <c r="B144" s="62"/>
      <c r="C144" s="63"/>
      <c r="D144" s="63"/>
      <c r="E144" s="63"/>
      <c r="F144" s="63"/>
      <c r="G144" s="63"/>
      <c r="H144" s="63"/>
      <c r="I144" s="63"/>
      <c r="J144" s="63"/>
      <c r="K144" s="63"/>
      <c r="L144" s="63"/>
      <c r="M144" s="64"/>
      <c r="N144" s="88"/>
      <c r="O144" s="89"/>
      <c r="P144" s="89"/>
      <c r="Q144" s="89"/>
      <c r="R144" s="89"/>
      <c r="S144" s="89"/>
      <c r="T144" s="89"/>
      <c r="U144" s="89"/>
    </row>
    <row r="145" spans="1:21" ht="15.75" outlineLevel="1" thickTop="1" x14ac:dyDescent="0.25">
      <c r="A145" s="95"/>
      <c r="B145" s="61" t="s">
        <v>61</v>
      </c>
      <c r="C145" s="57">
        <v>0</v>
      </c>
      <c r="D145" s="57">
        <f t="shared" ref="D145:M145" si="69">D115-D143</f>
        <v>485.37591919675469</v>
      </c>
      <c r="E145" s="57">
        <f t="shared" si="69"/>
        <v>720.61464650183916</v>
      </c>
      <c r="F145" s="57">
        <f t="shared" si="69"/>
        <v>145794.35320921615</v>
      </c>
      <c r="G145" s="57">
        <f t="shared" si="69"/>
        <v>206625.7190413177</v>
      </c>
      <c r="H145" s="57">
        <f t="shared" si="69"/>
        <v>211366.06878412142</v>
      </c>
      <c r="I145" s="57">
        <f t="shared" si="69"/>
        <v>164080.60634963959</v>
      </c>
      <c r="J145" s="57">
        <f t="shared" si="69"/>
        <v>138783.7503336221</v>
      </c>
      <c r="K145" s="57">
        <f t="shared" si="69"/>
        <v>89182.147071242332</v>
      </c>
      <c r="L145" s="57">
        <f t="shared" si="69"/>
        <v>41674.840717677027</v>
      </c>
      <c r="M145" s="58">
        <f t="shared" si="69"/>
        <v>177.37482700124383</v>
      </c>
      <c r="N145" s="88"/>
      <c r="O145" s="89"/>
      <c r="P145" s="89"/>
      <c r="Q145" s="89"/>
      <c r="R145" s="89"/>
      <c r="S145" s="89"/>
      <c r="T145" s="89"/>
      <c r="U145" s="89"/>
    </row>
    <row r="146" spans="1:21" ht="15.75" outlineLevel="1" thickBot="1" x14ac:dyDescent="0.3">
      <c r="A146" s="95"/>
      <c r="B146" s="71" t="s">
        <v>71</v>
      </c>
      <c r="C146" s="72"/>
      <c r="D146" s="73">
        <f>((D143-D114-D113-D112-D111-D110-D109-D108)-C107)/C107</f>
        <v>3.0172983297714482E-2</v>
      </c>
      <c r="E146" s="73">
        <f t="shared" ref="E146:M146" si="70">((E143-E114-E113-E112-E111-E110-E109-E108)-D107)/D107</f>
        <v>2.1946654618688218E-2</v>
      </c>
      <c r="F146" s="73">
        <f t="shared" si="70"/>
        <v>4.4395227175619695E-3</v>
      </c>
      <c r="G146" s="73">
        <f t="shared" si="70"/>
        <v>2.5444312031416578E-4</v>
      </c>
      <c r="H146" s="73">
        <f t="shared" si="70"/>
        <v>5.2390686286046938E-3</v>
      </c>
      <c r="I146" s="73">
        <f t="shared" si="70"/>
        <v>8.6909724177465612E-3</v>
      </c>
      <c r="J146" s="73">
        <f t="shared" si="70"/>
        <v>1.062208140655916E-2</v>
      </c>
      <c r="K146" s="73">
        <f t="shared" si="70"/>
        <v>1.4091930556994791E-2</v>
      </c>
      <c r="L146" s="73">
        <f t="shared" si="70"/>
        <v>1.729329176438818E-2</v>
      </c>
      <c r="M146" s="74">
        <f t="shared" si="70"/>
        <v>2.0438705700271724E-2</v>
      </c>
      <c r="N146" s="88"/>
      <c r="O146" s="89"/>
      <c r="P146" s="89"/>
      <c r="Q146" s="89"/>
      <c r="R146" s="89"/>
      <c r="S146" s="89"/>
      <c r="T146" s="89"/>
      <c r="U146" s="89"/>
    </row>
    <row r="147" spans="1:21" ht="15.75" thickBot="1" x14ac:dyDescent="0.3">
      <c r="D147" s="2"/>
      <c r="E147" s="2"/>
      <c r="F147" s="2"/>
      <c r="G147" s="2"/>
      <c r="H147" s="2"/>
      <c r="I147" s="2"/>
      <c r="J147" s="2"/>
      <c r="K147" s="2"/>
      <c r="L147" s="2"/>
      <c r="M147" s="2"/>
    </row>
    <row r="148" spans="1:21" ht="21" customHeight="1" outlineLevel="1" x14ac:dyDescent="0.35">
      <c r="A148" s="95"/>
      <c r="B148" s="92" t="s">
        <v>69</v>
      </c>
      <c r="C148" s="93"/>
      <c r="D148" s="93"/>
      <c r="E148" s="93"/>
      <c r="F148" s="93"/>
      <c r="G148" s="93"/>
      <c r="H148" s="93"/>
      <c r="I148" s="93"/>
      <c r="J148" s="93"/>
      <c r="K148" s="93"/>
      <c r="L148" s="93"/>
      <c r="M148" s="94"/>
    </row>
    <row r="149" spans="1:21" outlineLevel="1" x14ac:dyDescent="0.25">
      <c r="A149" s="95"/>
      <c r="B149" s="48"/>
      <c r="C149" s="49"/>
      <c r="D149" s="50"/>
      <c r="E149" s="50"/>
      <c r="F149" s="50"/>
      <c r="G149" s="50"/>
      <c r="H149" s="50"/>
      <c r="I149" s="50"/>
      <c r="J149" s="50"/>
      <c r="K149" s="50"/>
      <c r="L149" s="50"/>
      <c r="M149" s="51"/>
    </row>
    <row r="150" spans="1:21" ht="15.75" outlineLevel="1" x14ac:dyDescent="0.25">
      <c r="A150" s="95"/>
      <c r="B150" s="48"/>
      <c r="C150" s="76">
        <v>2022</v>
      </c>
      <c r="D150" s="76">
        <v>2023</v>
      </c>
      <c r="E150" s="76">
        <v>2024</v>
      </c>
      <c r="F150" s="76">
        <v>2025</v>
      </c>
      <c r="G150" s="76">
        <v>2026</v>
      </c>
      <c r="H150" s="76">
        <v>2027</v>
      </c>
      <c r="I150" s="76">
        <v>2028</v>
      </c>
      <c r="J150" s="76">
        <v>2029</v>
      </c>
      <c r="K150" s="76">
        <v>2030</v>
      </c>
      <c r="L150" s="76">
        <v>2031</v>
      </c>
      <c r="M150" s="77">
        <v>2032</v>
      </c>
    </row>
    <row r="151" spans="1:21" outlineLevel="1" x14ac:dyDescent="0.25">
      <c r="A151" s="95"/>
      <c r="B151" s="48" t="s">
        <v>50</v>
      </c>
      <c r="C151" s="49"/>
      <c r="D151" s="50"/>
      <c r="E151" s="50"/>
      <c r="F151" s="50"/>
      <c r="G151" s="50"/>
      <c r="H151" s="50"/>
      <c r="I151" s="50"/>
      <c r="J151" s="50"/>
      <c r="K151" s="50"/>
      <c r="L151" s="50"/>
      <c r="M151" s="51"/>
    </row>
    <row r="152" spans="1:21" outlineLevel="1" x14ac:dyDescent="0.25">
      <c r="A152" s="95"/>
      <c r="B152" s="54" t="s">
        <v>62</v>
      </c>
      <c r="C152" s="49">
        <v>4020358</v>
      </c>
      <c r="D152" s="49">
        <f>C152*(1+D99)</f>
        <v>4020358</v>
      </c>
      <c r="E152" s="49">
        <f t="shared" ref="E152:M152" si="71">D152*(1+E99)</f>
        <v>4080663.3699999996</v>
      </c>
      <c r="F152" s="49">
        <f t="shared" si="71"/>
        <v>4080663.3699999996</v>
      </c>
      <c r="G152" s="49">
        <f t="shared" si="71"/>
        <v>4080663.3699999996</v>
      </c>
      <c r="H152" s="49">
        <f t="shared" si="71"/>
        <v>4080663.3699999996</v>
      </c>
      <c r="I152" s="49">
        <f t="shared" si="71"/>
        <v>4080663.3699999996</v>
      </c>
      <c r="J152" s="49">
        <f t="shared" si="71"/>
        <v>4123510.3353849994</v>
      </c>
      <c r="K152" s="49">
        <f t="shared" si="71"/>
        <v>4207217.5951933144</v>
      </c>
      <c r="L152" s="49">
        <f t="shared" si="71"/>
        <v>4294306.9994138153</v>
      </c>
      <c r="M152" s="55">
        <f t="shared" si="71"/>
        <v>4383199.1543016806</v>
      </c>
    </row>
    <row r="153" spans="1:21" outlineLevel="1" x14ac:dyDescent="0.25">
      <c r="A153" s="95"/>
      <c r="B153" s="54" t="s">
        <v>33</v>
      </c>
      <c r="C153" s="49">
        <f>128680+51231</f>
        <v>179911</v>
      </c>
      <c r="D153" s="49">
        <f t="shared" ref="D153:M153" si="72">C153*(1+D70)</f>
        <v>179911</v>
      </c>
      <c r="E153" s="49">
        <f t="shared" si="72"/>
        <v>179911</v>
      </c>
      <c r="F153" s="49">
        <f t="shared" si="72"/>
        <v>179911</v>
      </c>
      <c r="G153" s="49">
        <f t="shared" si="72"/>
        <v>179911</v>
      </c>
      <c r="H153" s="49">
        <f t="shared" si="72"/>
        <v>179911</v>
      </c>
      <c r="I153" s="49">
        <f t="shared" si="72"/>
        <v>179911</v>
      </c>
      <c r="J153" s="49">
        <f t="shared" si="72"/>
        <v>179911</v>
      </c>
      <c r="K153" s="49">
        <f t="shared" si="72"/>
        <v>179911</v>
      </c>
      <c r="L153" s="49">
        <f t="shared" si="72"/>
        <v>179911</v>
      </c>
      <c r="M153" s="55">
        <f t="shared" si="72"/>
        <v>179911</v>
      </c>
    </row>
    <row r="154" spans="1:21" outlineLevel="1" x14ac:dyDescent="0.25">
      <c r="A154" s="95"/>
      <c r="B154" s="54" t="s">
        <v>54</v>
      </c>
      <c r="C154" s="49">
        <f>41200+4000+100000+5000</f>
        <v>150200</v>
      </c>
      <c r="D154" s="49">
        <f t="shared" ref="D154:M154" si="73">C154*(1+(D70/2))</f>
        <v>150200</v>
      </c>
      <c r="E154" s="49">
        <f t="shared" si="73"/>
        <v>150200</v>
      </c>
      <c r="F154" s="49">
        <f t="shared" si="73"/>
        <v>150200</v>
      </c>
      <c r="G154" s="49">
        <f t="shared" si="73"/>
        <v>150200</v>
      </c>
      <c r="H154" s="49">
        <f t="shared" si="73"/>
        <v>150200</v>
      </c>
      <c r="I154" s="49">
        <f t="shared" si="73"/>
        <v>150200</v>
      </c>
      <c r="J154" s="49">
        <f t="shared" si="73"/>
        <v>150200</v>
      </c>
      <c r="K154" s="49">
        <f t="shared" si="73"/>
        <v>150200</v>
      </c>
      <c r="L154" s="49">
        <f t="shared" si="73"/>
        <v>150200</v>
      </c>
      <c r="M154" s="55">
        <f t="shared" si="73"/>
        <v>150200</v>
      </c>
    </row>
    <row r="155" spans="1:21" outlineLevel="1" x14ac:dyDescent="0.25">
      <c r="A155" s="95"/>
      <c r="B155" s="56" t="s">
        <v>57</v>
      </c>
      <c r="C155" s="57">
        <f t="shared" ref="C155:M155" si="74">SUM(C152:C154)</f>
        <v>4350469</v>
      </c>
      <c r="D155" s="57">
        <f t="shared" si="74"/>
        <v>4350469</v>
      </c>
      <c r="E155" s="57">
        <f t="shared" si="74"/>
        <v>4410774.3699999992</v>
      </c>
      <c r="F155" s="57">
        <f t="shared" si="74"/>
        <v>4410774.3699999992</v>
      </c>
      <c r="G155" s="57">
        <f t="shared" si="74"/>
        <v>4410774.3699999992</v>
      </c>
      <c r="H155" s="57">
        <f t="shared" si="74"/>
        <v>4410774.3699999992</v>
      </c>
      <c r="I155" s="57">
        <f t="shared" si="74"/>
        <v>4410774.3699999992</v>
      </c>
      <c r="J155" s="57">
        <f t="shared" si="74"/>
        <v>4453621.3353849994</v>
      </c>
      <c r="K155" s="57">
        <f t="shared" si="74"/>
        <v>4537328.5951933144</v>
      </c>
      <c r="L155" s="57">
        <f t="shared" si="74"/>
        <v>4624417.9994138153</v>
      </c>
      <c r="M155" s="58">
        <f t="shared" si="74"/>
        <v>4713310.1543016806</v>
      </c>
    </row>
    <row r="156" spans="1:21" outlineLevel="1" x14ac:dyDescent="0.25">
      <c r="A156" s="95"/>
      <c r="B156" s="48"/>
      <c r="C156" s="49"/>
      <c r="D156" s="49"/>
      <c r="E156" s="49"/>
      <c r="F156" s="49"/>
      <c r="G156" s="49"/>
      <c r="H156" s="49"/>
      <c r="I156" s="49"/>
      <c r="J156" s="49"/>
      <c r="K156" s="49"/>
      <c r="L156" s="49"/>
      <c r="M156" s="55"/>
    </row>
    <row r="157" spans="1:21" outlineLevel="1" x14ac:dyDescent="0.25">
      <c r="A157" s="95"/>
      <c r="B157" s="48" t="s">
        <v>59</v>
      </c>
      <c r="C157" s="49"/>
      <c r="D157" s="49"/>
      <c r="E157" s="49"/>
      <c r="F157" s="49"/>
      <c r="G157" s="49"/>
      <c r="H157" s="49"/>
      <c r="I157" s="49"/>
      <c r="J157" s="49"/>
      <c r="K157" s="49"/>
      <c r="L157" s="49"/>
      <c r="M157" s="55"/>
    </row>
    <row r="158" spans="1:21" outlineLevel="1" x14ac:dyDescent="0.25">
      <c r="A158" s="95"/>
      <c r="B158" s="56" t="s">
        <v>27</v>
      </c>
      <c r="C158" s="52"/>
      <c r="D158" s="52"/>
      <c r="E158" s="52"/>
      <c r="F158" s="52"/>
      <c r="G158" s="52"/>
      <c r="H158" s="52"/>
      <c r="I158" s="52"/>
      <c r="J158" s="52"/>
      <c r="K158" s="52"/>
      <c r="L158" s="52"/>
      <c r="M158" s="53"/>
    </row>
    <row r="159" spans="1:21" outlineLevel="1" x14ac:dyDescent="0.25">
      <c r="A159" s="95"/>
      <c r="B159" s="59" t="s">
        <v>1</v>
      </c>
      <c r="C159" s="49">
        <f t="shared" ref="C159:M159" si="75">C40</f>
        <v>814658.52</v>
      </c>
      <c r="D159" s="49">
        <f t="shared" si="75"/>
        <v>835024.98299999989</v>
      </c>
      <c r="E159" s="49">
        <f t="shared" si="75"/>
        <v>851725.48265999986</v>
      </c>
      <c r="F159" s="49">
        <f t="shared" si="75"/>
        <v>868759.99231319991</v>
      </c>
      <c r="G159" s="49">
        <f t="shared" si="75"/>
        <v>886135.19215946388</v>
      </c>
      <c r="H159" s="49">
        <f t="shared" si="75"/>
        <v>903857.89600265317</v>
      </c>
      <c r="I159" s="49">
        <f t="shared" si="75"/>
        <v>921935.05392270628</v>
      </c>
      <c r="J159" s="49">
        <f t="shared" si="75"/>
        <v>940373.75500116043</v>
      </c>
      <c r="K159" s="49">
        <f t="shared" si="75"/>
        <v>959181.23010118364</v>
      </c>
      <c r="L159" s="49">
        <f t="shared" si="75"/>
        <v>978364.85470320738</v>
      </c>
      <c r="M159" s="55">
        <f t="shared" si="75"/>
        <v>997932.15179727157</v>
      </c>
    </row>
    <row r="160" spans="1:21" outlineLevel="1" x14ac:dyDescent="0.25">
      <c r="A160" s="95"/>
      <c r="B160" s="59" t="s">
        <v>2</v>
      </c>
      <c r="C160" s="49">
        <f t="shared" ref="C160:M160" si="76">C41</f>
        <v>186887.50080000001</v>
      </c>
      <c r="D160" s="49">
        <f t="shared" si="76"/>
        <v>190625.25081600001</v>
      </c>
      <c r="E160" s="49">
        <f t="shared" si="76"/>
        <v>194437.75583232002</v>
      </c>
      <c r="F160" s="49">
        <f t="shared" si="76"/>
        <v>198326.51094896643</v>
      </c>
      <c r="G160" s="49">
        <f t="shared" si="76"/>
        <v>202293.04116794578</v>
      </c>
      <c r="H160" s="49">
        <f t="shared" si="76"/>
        <v>206338.90199130471</v>
      </c>
      <c r="I160" s="49">
        <f t="shared" si="76"/>
        <v>210465.68003113082</v>
      </c>
      <c r="J160" s="49">
        <f t="shared" si="76"/>
        <v>214674.99363175343</v>
      </c>
      <c r="K160" s="49">
        <f t="shared" si="76"/>
        <v>218968.49350438849</v>
      </c>
      <c r="L160" s="49">
        <f t="shared" si="76"/>
        <v>223347.86337447626</v>
      </c>
      <c r="M160" s="55">
        <f t="shared" si="76"/>
        <v>227814.82064196578</v>
      </c>
    </row>
    <row r="161" spans="1:13" outlineLevel="1" x14ac:dyDescent="0.25">
      <c r="A161" s="95"/>
      <c r="B161" s="59" t="s">
        <v>3</v>
      </c>
      <c r="C161" s="49">
        <f t="shared" ref="C161:M161" si="77">C42</f>
        <v>93059.361499999999</v>
      </c>
      <c r="D161" s="49">
        <f t="shared" si="77"/>
        <v>94920.548729999995</v>
      </c>
      <c r="E161" s="49">
        <f t="shared" si="77"/>
        <v>96344.356960949983</v>
      </c>
      <c r="F161" s="49">
        <f t="shared" si="77"/>
        <v>98271.244100168988</v>
      </c>
      <c r="G161" s="49">
        <f t="shared" si="77"/>
        <v>99745.312761671506</v>
      </c>
      <c r="H161" s="49">
        <f t="shared" si="77"/>
        <v>101740.21901690494</v>
      </c>
      <c r="I161" s="49">
        <f t="shared" si="77"/>
        <v>103266.3223021585</v>
      </c>
      <c r="J161" s="49">
        <f t="shared" si="77"/>
        <v>105331.64874820167</v>
      </c>
      <c r="K161" s="49">
        <f t="shared" si="77"/>
        <v>106911.62347942468</v>
      </c>
      <c r="L161" s="49">
        <f t="shared" si="77"/>
        <v>108515.29783161604</v>
      </c>
      <c r="M161" s="55">
        <f t="shared" si="77"/>
        <v>110143.02729909027</v>
      </c>
    </row>
    <row r="162" spans="1:13" outlineLevel="1" x14ac:dyDescent="0.25">
      <c r="A162" s="95"/>
      <c r="B162" s="59" t="s">
        <v>28</v>
      </c>
      <c r="C162" s="49">
        <f>C53+67</f>
        <v>155067</v>
      </c>
      <c r="D162" s="49">
        <f t="shared" ref="D162:M162" si="78">D53</f>
        <v>160219.39765128479</v>
      </c>
      <c r="E162" s="49">
        <f t="shared" si="78"/>
        <v>163197.59007674031</v>
      </c>
      <c r="F162" s="49">
        <f t="shared" si="78"/>
        <v>166083.09220145829</v>
      </c>
      <c r="G162" s="49">
        <f t="shared" si="78"/>
        <v>169176.94431604684</v>
      </c>
      <c r="H162" s="49">
        <f t="shared" si="78"/>
        <v>172175.04475221207</v>
      </c>
      <c r="I162" s="49">
        <f t="shared" si="78"/>
        <v>175389.06473461917</v>
      </c>
      <c r="J162" s="49">
        <f t="shared" si="78"/>
        <v>178504.1721021182</v>
      </c>
      <c r="K162" s="49">
        <f t="shared" si="78"/>
        <v>181843.04445556007</v>
      </c>
      <c r="L162" s="49">
        <f t="shared" si="78"/>
        <v>185247.93310118068</v>
      </c>
      <c r="M162" s="55">
        <f t="shared" si="78"/>
        <v>188720.14694750024</v>
      </c>
    </row>
    <row r="163" spans="1:13" outlineLevel="1" x14ac:dyDescent="0.25">
      <c r="A163" s="95"/>
      <c r="B163" s="56" t="s">
        <v>29</v>
      </c>
      <c r="C163" s="49">
        <f t="shared" ref="C163:M163" si="79">SUM(C159:C162)</f>
        <v>1249672.3823000002</v>
      </c>
      <c r="D163" s="49">
        <f t="shared" si="79"/>
        <v>1280790.1801972846</v>
      </c>
      <c r="E163" s="49">
        <f t="shared" si="79"/>
        <v>1305705.1855300101</v>
      </c>
      <c r="F163" s="49">
        <f t="shared" si="79"/>
        <v>1331440.8395637937</v>
      </c>
      <c r="G163" s="49">
        <f t="shared" si="79"/>
        <v>1357350.4904051281</v>
      </c>
      <c r="H163" s="49">
        <f t="shared" si="79"/>
        <v>1384112.0617630749</v>
      </c>
      <c r="I163" s="49">
        <f t="shared" si="79"/>
        <v>1411056.1209906146</v>
      </c>
      <c r="J163" s="49">
        <f t="shared" si="79"/>
        <v>1438884.5694832338</v>
      </c>
      <c r="K163" s="49">
        <f t="shared" si="79"/>
        <v>1466904.3915405571</v>
      </c>
      <c r="L163" s="49">
        <f t="shared" si="79"/>
        <v>1495475.9490104804</v>
      </c>
      <c r="M163" s="55">
        <f t="shared" si="79"/>
        <v>1524610.146685828</v>
      </c>
    </row>
    <row r="164" spans="1:13" ht="15" customHeight="1" outlineLevel="1" x14ac:dyDescent="0.25">
      <c r="A164" s="95"/>
      <c r="B164" s="60"/>
      <c r="C164" s="49"/>
      <c r="D164" s="50"/>
      <c r="E164" s="50"/>
      <c r="F164" s="50"/>
      <c r="G164" s="50"/>
      <c r="H164" s="50"/>
      <c r="I164" s="50"/>
      <c r="J164" s="50"/>
      <c r="K164" s="50"/>
      <c r="L164" s="50"/>
      <c r="M164" s="51"/>
    </row>
    <row r="165" spans="1:13" ht="15" customHeight="1" outlineLevel="1" x14ac:dyDescent="0.25">
      <c r="A165" s="95"/>
      <c r="B165" s="56" t="s">
        <v>30</v>
      </c>
      <c r="C165" s="49">
        <f t="shared" ref="C165:M165" si="80">C86</f>
        <v>0</v>
      </c>
      <c r="D165" s="49">
        <f t="shared" si="80"/>
        <v>0</v>
      </c>
      <c r="E165" s="49">
        <f t="shared" si="80"/>
        <v>0</v>
      </c>
      <c r="F165" s="49">
        <f t="shared" si="80"/>
        <v>0</v>
      </c>
      <c r="G165" s="49">
        <f t="shared" si="80"/>
        <v>0</v>
      </c>
      <c r="H165" s="49">
        <f t="shared" si="80"/>
        <v>0</v>
      </c>
      <c r="I165" s="49">
        <f t="shared" si="80"/>
        <v>0</v>
      </c>
      <c r="J165" s="49">
        <f t="shared" si="80"/>
        <v>0</v>
      </c>
      <c r="K165" s="49">
        <f t="shared" si="80"/>
        <v>0</v>
      </c>
      <c r="L165" s="49">
        <f t="shared" si="80"/>
        <v>0</v>
      </c>
      <c r="M165" s="55">
        <f t="shared" si="80"/>
        <v>0</v>
      </c>
    </row>
    <row r="166" spans="1:13" ht="7.5" customHeight="1" outlineLevel="1" x14ac:dyDescent="0.25">
      <c r="A166" s="95"/>
      <c r="B166" s="60"/>
      <c r="C166" s="49"/>
      <c r="D166" s="49"/>
      <c r="E166" s="49"/>
      <c r="F166" s="49"/>
      <c r="G166" s="49"/>
      <c r="H166" s="49"/>
      <c r="I166" s="49"/>
      <c r="J166" s="49"/>
      <c r="K166" s="49"/>
      <c r="L166" s="49"/>
      <c r="M166" s="55"/>
    </row>
    <row r="167" spans="1:13" outlineLevel="1" x14ac:dyDescent="0.25">
      <c r="A167" s="95"/>
      <c r="B167" s="56" t="s">
        <v>31</v>
      </c>
      <c r="C167" s="49">
        <f t="shared" ref="C167:M167" si="81">C63</f>
        <v>1133804</v>
      </c>
      <c r="D167" s="49">
        <f t="shared" si="81"/>
        <v>1158180.7860000001</v>
      </c>
      <c r="E167" s="49">
        <f t="shared" si="81"/>
        <v>1183660.7632920002</v>
      </c>
      <c r="F167" s="49">
        <f t="shared" si="81"/>
        <v>1210293.13046607</v>
      </c>
      <c r="G167" s="49">
        <f t="shared" si="81"/>
        <v>1238129.8724667896</v>
      </c>
      <c r="H167" s="49">
        <f t="shared" si="81"/>
        <v>1266606.8595335255</v>
      </c>
      <c r="I167" s="49">
        <f t="shared" si="81"/>
        <v>1296372.1207325635</v>
      </c>
      <c r="J167" s="49">
        <f t="shared" si="81"/>
        <v>1325540.4934490463</v>
      </c>
      <c r="K167" s="49">
        <f t="shared" si="81"/>
        <v>1355365.1545516497</v>
      </c>
      <c r="L167" s="49">
        <f t="shared" si="81"/>
        <v>1385183.187951786</v>
      </c>
      <c r="M167" s="55">
        <f t="shared" si="81"/>
        <v>1415657.2180867253</v>
      </c>
    </row>
    <row r="168" spans="1:13" ht="7.5" customHeight="1" outlineLevel="1" x14ac:dyDescent="0.25">
      <c r="A168" s="95"/>
      <c r="B168" s="60"/>
      <c r="C168" s="49"/>
      <c r="D168" s="50"/>
      <c r="E168" s="50"/>
      <c r="F168" s="50"/>
      <c r="G168" s="50"/>
      <c r="H168" s="50"/>
      <c r="I168" s="50"/>
      <c r="J168" s="50"/>
      <c r="K168" s="50"/>
      <c r="L168" s="50"/>
      <c r="M168" s="51"/>
    </row>
    <row r="169" spans="1:13" outlineLevel="1" x14ac:dyDescent="0.25">
      <c r="A169" s="95"/>
      <c r="B169" s="56" t="s">
        <v>32</v>
      </c>
      <c r="C169" s="49">
        <f t="shared" ref="C169:M169" si="82">C68</f>
        <v>685098</v>
      </c>
      <c r="D169" s="49">
        <f t="shared" si="82"/>
        <v>598760</v>
      </c>
      <c r="E169" s="49">
        <f t="shared" si="82"/>
        <v>592978</v>
      </c>
      <c r="F169" s="49">
        <f t="shared" si="82"/>
        <v>322118</v>
      </c>
      <c r="G169" s="49">
        <f t="shared" si="82"/>
        <v>238162</v>
      </c>
      <c r="H169" s="49">
        <f t="shared" si="82"/>
        <v>244962</v>
      </c>
      <c r="I169" s="49">
        <f t="shared" si="82"/>
        <v>221900</v>
      </c>
      <c r="J169" s="49">
        <f t="shared" si="82"/>
        <v>224050</v>
      </c>
      <c r="K169" s="49">
        <f t="shared" si="82"/>
        <v>220800</v>
      </c>
      <c r="L169" s="49">
        <f t="shared" si="82"/>
        <v>220800</v>
      </c>
      <c r="M169" s="55">
        <f t="shared" si="82"/>
        <v>220800</v>
      </c>
    </row>
    <row r="170" spans="1:13" ht="7.5" customHeight="1" outlineLevel="1" x14ac:dyDescent="0.25">
      <c r="A170" s="95"/>
      <c r="B170" s="60"/>
      <c r="C170" s="49"/>
      <c r="D170" s="50"/>
      <c r="E170" s="50"/>
      <c r="F170" s="50"/>
      <c r="G170" s="50"/>
      <c r="H170" s="50"/>
      <c r="I170" s="50"/>
      <c r="J170" s="50"/>
      <c r="K170" s="50"/>
      <c r="L170" s="50"/>
      <c r="M170" s="51"/>
    </row>
    <row r="171" spans="1:13" outlineLevel="1" x14ac:dyDescent="0.25">
      <c r="A171" s="95"/>
      <c r="B171" s="56" t="s">
        <v>33</v>
      </c>
      <c r="C171" s="49">
        <v>78470</v>
      </c>
      <c r="D171" s="49">
        <f t="shared" ref="D171:M171" si="83">D73</f>
        <v>78000</v>
      </c>
      <c r="E171" s="49">
        <f t="shared" si="83"/>
        <v>78000</v>
      </c>
      <c r="F171" s="49">
        <f t="shared" si="83"/>
        <v>78000</v>
      </c>
      <c r="G171" s="49">
        <f t="shared" si="83"/>
        <v>78000</v>
      </c>
      <c r="H171" s="49">
        <f t="shared" si="83"/>
        <v>78000</v>
      </c>
      <c r="I171" s="49">
        <f t="shared" si="83"/>
        <v>78000</v>
      </c>
      <c r="J171" s="49">
        <f t="shared" si="83"/>
        <v>78000</v>
      </c>
      <c r="K171" s="49">
        <f t="shared" si="83"/>
        <v>78000</v>
      </c>
      <c r="L171" s="49">
        <f t="shared" si="83"/>
        <v>78000</v>
      </c>
      <c r="M171" s="55">
        <f t="shared" si="83"/>
        <v>78000</v>
      </c>
    </row>
    <row r="172" spans="1:13" ht="7.5" customHeight="1" outlineLevel="1" x14ac:dyDescent="0.25">
      <c r="A172" s="95"/>
      <c r="B172" s="60"/>
      <c r="C172" s="49"/>
      <c r="D172" s="50"/>
      <c r="E172" s="50"/>
      <c r="F172" s="50"/>
      <c r="G172" s="50"/>
      <c r="H172" s="50"/>
      <c r="I172" s="50"/>
      <c r="J172" s="50"/>
      <c r="K172" s="50"/>
      <c r="L172" s="50"/>
      <c r="M172" s="51"/>
    </row>
    <row r="173" spans="1:13" outlineLevel="1" x14ac:dyDescent="0.25">
      <c r="A173" s="95"/>
      <c r="B173" s="56" t="s">
        <v>34</v>
      </c>
      <c r="C173" s="49"/>
      <c r="D173" s="50"/>
      <c r="E173" s="50"/>
      <c r="F173" s="50"/>
      <c r="G173" s="50"/>
      <c r="H173" s="50"/>
      <c r="I173" s="50"/>
      <c r="J173" s="50"/>
      <c r="K173" s="50"/>
      <c r="L173" s="50"/>
      <c r="M173" s="51"/>
    </row>
    <row r="174" spans="1:13" outlineLevel="1" x14ac:dyDescent="0.25">
      <c r="A174" s="95"/>
      <c r="B174" s="59" t="s">
        <v>35</v>
      </c>
      <c r="C174" s="49">
        <f t="shared" ref="C174:M174" si="84">C88</f>
        <v>829507</v>
      </c>
      <c r="D174" s="49">
        <f t="shared" si="84"/>
        <v>847341.40050000011</v>
      </c>
      <c r="E174" s="49">
        <f t="shared" si="84"/>
        <v>865982.91131100012</v>
      </c>
      <c r="F174" s="49">
        <f t="shared" si="84"/>
        <v>885467.52681549755</v>
      </c>
      <c r="G174" s="49">
        <f t="shared" si="84"/>
        <v>905833.27993225388</v>
      </c>
      <c r="H174" s="49">
        <f t="shared" si="84"/>
        <v>926667.44537069567</v>
      </c>
      <c r="I174" s="49">
        <f t="shared" si="84"/>
        <v>948444.13033690711</v>
      </c>
      <c r="J174" s="49">
        <f t="shared" si="84"/>
        <v>969784.12326948752</v>
      </c>
      <c r="K174" s="49">
        <f t="shared" si="84"/>
        <v>991604.26604305091</v>
      </c>
      <c r="L174" s="49">
        <f t="shared" si="84"/>
        <v>1013419.5598959981</v>
      </c>
      <c r="M174" s="55">
        <f t="shared" si="84"/>
        <v>1035714.79021371</v>
      </c>
    </row>
    <row r="175" spans="1:13" outlineLevel="1" x14ac:dyDescent="0.25">
      <c r="A175" s="95"/>
      <c r="B175" s="59" t="s">
        <v>18</v>
      </c>
      <c r="C175" s="49">
        <f t="shared" ref="C175:M175" si="85">C83</f>
        <v>99158</v>
      </c>
      <c r="D175" s="49">
        <f t="shared" si="85"/>
        <v>97980.44878509226</v>
      </c>
      <c r="E175" s="49">
        <f t="shared" si="85"/>
        <v>99886.446693045771</v>
      </c>
      <c r="F175" s="49">
        <f t="shared" si="85"/>
        <v>101855.22422663022</v>
      </c>
      <c r="G175" s="49">
        <f t="shared" si="85"/>
        <v>103837.31251599229</v>
      </c>
      <c r="H175" s="49">
        <f t="shared" si="85"/>
        <v>105884.57272487524</v>
      </c>
      <c r="I175" s="49">
        <f t="shared" si="85"/>
        <v>107945.79325578202</v>
      </c>
      <c r="J175" s="49">
        <f t="shared" si="85"/>
        <v>110074.66956546737</v>
      </c>
      <c r="K175" s="49">
        <f t="shared" si="85"/>
        <v>112218.1859528526</v>
      </c>
      <c r="L175" s="49">
        <f t="shared" si="85"/>
        <v>114403.91009930175</v>
      </c>
      <c r="M175" s="55">
        <f t="shared" si="85"/>
        <v>116632.67622146584</v>
      </c>
    </row>
    <row r="176" spans="1:13" outlineLevel="1" x14ac:dyDescent="0.25">
      <c r="A176" s="95"/>
      <c r="B176" s="59" t="s">
        <v>36</v>
      </c>
      <c r="C176" s="49">
        <f t="shared" ref="C176:M176" si="86">C93</f>
        <v>135964.22434680004</v>
      </c>
      <c r="D176" s="49">
        <f t="shared" si="86"/>
        <v>139278.93583911052</v>
      </c>
      <c r="E176" s="49">
        <f t="shared" si="86"/>
        <v>141996.34129703025</v>
      </c>
      <c r="F176" s="49">
        <f t="shared" si="86"/>
        <v>144814.31804171551</v>
      </c>
      <c r="G176" s="49">
        <f t="shared" si="86"/>
        <v>147640.39411666416</v>
      </c>
      <c r="H176" s="49">
        <f t="shared" si="86"/>
        <v>150570.84656888843</v>
      </c>
      <c r="I176" s="49">
        <f t="shared" si="86"/>
        <v>153509.9442803034</v>
      </c>
      <c r="J176" s="49">
        <f t="shared" si="86"/>
        <v>156557.36807813231</v>
      </c>
      <c r="K176" s="49">
        <f t="shared" si="86"/>
        <v>159614.01284028214</v>
      </c>
      <c r="L176" s="49">
        <f t="shared" si="86"/>
        <v>162730.82996534725</v>
      </c>
      <c r="M176" s="55">
        <f t="shared" si="86"/>
        <v>165909.00849260105</v>
      </c>
    </row>
    <row r="177" spans="1:13" outlineLevel="1" x14ac:dyDescent="0.25">
      <c r="A177" s="95"/>
      <c r="B177" s="59" t="s">
        <v>37</v>
      </c>
      <c r="C177" s="49">
        <f t="shared" ref="C177:M177" si="87">C78</f>
        <v>138795.77565319996</v>
      </c>
      <c r="D177" s="49">
        <f t="shared" si="87"/>
        <v>140287.83024147188</v>
      </c>
      <c r="E177" s="49">
        <f t="shared" si="87"/>
        <v>141830.99637412807</v>
      </c>
      <c r="F177" s="49">
        <f t="shared" si="87"/>
        <v>143426.59508333702</v>
      </c>
      <c r="G177" s="49">
        <f t="shared" si="87"/>
        <v>145076.00092679539</v>
      </c>
      <c r="H177" s="49">
        <f t="shared" si="87"/>
        <v>146744.37493745354</v>
      </c>
      <c r="I177" s="49">
        <f t="shared" si="87"/>
        <v>148468.6213429686</v>
      </c>
      <c r="J177" s="49">
        <f t="shared" si="87"/>
        <v>150138.89333307699</v>
      </c>
      <c r="K177" s="49">
        <f t="shared" si="87"/>
        <v>151827.95588307412</v>
      </c>
      <c r="L177" s="49">
        <f t="shared" si="87"/>
        <v>153498.06339778792</v>
      </c>
      <c r="M177" s="55">
        <f t="shared" si="87"/>
        <v>155186.54209516358</v>
      </c>
    </row>
    <row r="178" spans="1:13" outlineLevel="1" x14ac:dyDescent="0.25">
      <c r="A178" s="95"/>
      <c r="B178" s="56" t="s">
        <v>38</v>
      </c>
      <c r="C178" s="49">
        <f>SUM(C174:C177)</f>
        <v>1203425</v>
      </c>
      <c r="D178" s="49">
        <f t="shared" ref="D178" si="88">SUM(D174:D177)</f>
        <v>1224888.6153656747</v>
      </c>
      <c r="E178" s="49">
        <f t="shared" ref="E178" si="89">SUM(E174:E177)</f>
        <v>1249696.6956752043</v>
      </c>
      <c r="F178" s="49">
        <f t="shared" ref="F178" si="90">SUM(F174:F177)</f>
        <v>1275563.6641671802</v>
      </c>
      <c r="G178" s="49">
        <f t="shared" ref="G178" si="91">SUM(G174:G177)</f>
        <v>1302386.9874917057</v>
      </c>
      <c r="H178" s="49">
        <f t="shared" ref="H178" si="92">SUM(H174:H177)</f>
        <v>1329867.2396019129</v>
      </c>
      <c r="I178" s="49">
        <f t="shared" ref="I178" si="93">SUM(I174:I177)</f>
        <v>1358368.4892159612</v>
      </c>
      <c r="J178" s="49">
        <f t="shared" ref="J178" si="94">SUM(J174:J177)</f>
        <v>1386555.0542461642</v>
      </c>
      <c r="K178" s="49">
        <f t="shared" ref="K178" si="95">SUM(K174:K177)</f>
        <v>1415264.4207192599</v>
      </c>
      <c r="L178" s="49">
        <f t="shared" ref="L178" si="96">SUM(L174:L177)</f>
        <v>1444052.363358435</v>
      </c>
      <c r="M178" s="55">
        <f t="shared" ref="M178" si="97">SUM(M174:M177)</f>
        <v>1473443.0170229406</v>
      </c>
    </row>
    <row r="179" spans="1:13" ht="7.5" customHeight="1" outlineLevel="1" x14ac:dyDescent="0.25">
      <c r="A179" s="95"/>
      <c r="B179" s="60"/>
      <c r="C179" s="49"/>
      <c r="D179" s="50"/>
      <c r="E179" s="50"/>
      <c r="F179" s="50"/>
      <c r="G179" s="50"/>
      <c r="H179" s="50"/>
      <c r="I179" s="50"/>
      <c r="J179" s="50"/>
      <c r="K179" s="50"/>
      <c r="L179" s="50"/>
      <c r="M179" s="51"/>
    </row>
    <row r="180" spans="1:13" outlineLevel="1" x14ac:dyDescent="0.25">
      <c r="A180" s="95"/>
      <c r="B180" s="61" t="s">
        <v>60</v>
      </c>
      <c r="C180" s="57">
        <f>C178+C171+C169+C167+C165+C163</f>
        <v>4350469.3823000006</v>
      </c>
      <c r="D180" s="57">
        <f t="shared" ref="D180:M180" si="98">D178+D171+D169+D167+D165+D163</f>
        <v>4340619.5815629596</v>
      </c>
      <c r="E180" s="57">
        <f t="shared" si="98"/>
        <v>4410040.6444972139</v>
      </c>
      <c r="F180" s="57">
        <f t="shared" si="98"/>
        <v>4217415.6341970442</v>
      </c>
      <c r="G180" s="57">
        <f t="shared" si="98"/>
        <v>4214029.3503636234</v>
      </c>
      <c r="H180" s="57">
        <f t="shared" si="98"/>
        <v>4303548.1608985132</v>
      </c>
      <c r="I180" s="57">
        <f t="shared" si="98"/>
        <v>4365696.7309391396</v>
      </c>
      <c r="J180" s="57">
        <f t="shared" si="98"/>
        <v>4453030.1171784438</v>
      </c>
      <c r="K180" s="57">
        <f t="shared" si="98"/>
        <v>4536333.966811467</v>
      </c>
      <c r="L180" s="57">
        <f t="shared" si="98"/>
        <v>4623511.5003207009</v>
      </c>
      <c r="M180" s="58">
        <f t="shared" si="98"/>
        <v>4712510.3817954939</v>
      </c>
    </row>
    <row r="181" spans="1:13" ht="15.75" outlineLevel="1" thickBot="1" x14ac:dyDescent="0.3">
      <c r="A181" s="95"/>
      <c r="B181" s="62"/>
      <c r="C181" s="63"/>
      <c r="D181" s="63"/>
      <c r="E181" s="63"/>
      <c r="F181" s="63"/>
      <c r="G181" s="63"/>
      <c r="H181" s="63"/>
      <c r="I181" s="63"/>
      <c r="J181" s="63"/>
      <c r="K181" s="63"/>
      <c r="L181" s="63"/>
      <c r="M181" s="64"/>
    </row>
    <row r="182" spans="1:13" ht="15.75" outlineLevel="1" thickTop="1" x14ac:dyDescent="0.25">
      <c r="A182" s="95"/>
      <c r="B182" s="61" t="s">
        <v>61</v>
      </c>
      <c r="C182" s="57">
        <f>C155-C180</f>
        <v>-0.3823000006377697</v>
      </c>
      <c r="D182" s="57">
        <f t="shared" ref="D182:M182" si="99">D155-D180</f>
        <v>9849.4184370404109</v>
      </c>
      <c r="E182" s="57">
        <f t="shared" si="99"/>
        <v>733.72550278529525</v>
      </c>
      <c r="F182" s="57">
        <f t="shared" si="99"/>
        <v>193358.73580295499</v>
      </c>
      <c r="G182" s="57">
        <f t="shared" si="99"/>
        <v>196745.01963637583</v>
      </c>
      <c r="H182" s="57">
        <f t="shared" si="99"/>
        <v>107226.20910148602</v>
      </c>
      <c r="I182" s="57">
        <f t="shared" si="99"/>
        <v>45077.639060859568</v>
      </c>
      <c r="J182" s="57">
        <f t="shared" si="99"/>
        <v>591.21820655558258</v>
      </c>
      <c r="K182" s="57">
        <f t="shared" si="99"/>
        <v>994.62838184740394</v>
      </c>
      <c r="L182" s="57">
        <f t="shared" si="99"/>
        <v>906.49909311439842</v>
      </c>
      <c r="M182" s="58">
        <f t="shared" si="99"/>
        <v>799.77250618673861</v>
      </c>
    </row>
    <row r="183" spans="1:13" ht="15.75" outlineLevel="1" thickBot="1" x14ac:dyDescent="0.3">
      <c r="A183" s="95"/>
      <c r="B183" s="71" t="s">
        <v>72</v>
      </c>
      <c r="C183" s="72"/>
      <c r="D183" s="73">
        <f>((D180-D154-D153)-C152)/C152</f>
        <v>-2.4498859148962384E-3</v>
      </c>
      <c r="E183" s="73">
        <f t="shared" ref="E183:M183" si="100">((E180-E154-E153)-D152)/D152</f>
        <v>1.4817497470925197E-2</v>
      </c>
      <c r="F183" s="73">
        <f t="shared" si="100"/>
        <v>-4.7384142790233508E-2</v>
      </c>
      <c r="G183" s="73">
        <f t="shared" si="100"/>
        <v>-4.8213979394329781E-2</v>
      </c>
      <c r="H183" s="73">
        <f t="shared" si="100"/>
        <v>-2.6276661262917774E-2</v>
      </c>
      <c r="I183" s="73">
        <f t="shared" si="100"/>
        <v>-1.1046644864719639E-2</v>
      </c>
      <c r="J183" s="73">
        <f t="shared" si="100"/>
        <v>1.0355117133429258E-2</v>
      </c>
      <c r="K183" s="73">
        <f t="shared" si="100"/>
        <v>2.0058790859983362E-2</v>
      </c>
      <c r="L183" s="73">
        <f t="shared" si="100"/>
        <v>2.0484537150122516E-2</v>
      </c>
      <c r="M183" s="74">
        <f t="shared" si="100"/>
        <v>2.0513759820549256E-2</v>
      </c>
    </row>
    <row r="184" spans="1:13" ht="15.75" thickBot="1" x14ac:dyDescent="0.3">
      <c r="B184" s="69"/>
      <c r="C184" s="70"/>
      <c r="D184" s="69"/>
      <c r="E184" s="69"/>
      <c r="F184" s="69"/>
      <c r="G184" s="69"/>
      <c r="H184" s="69"/>
      <c r="I184" s="69"/>
      <c r="J184" s="69"/>
      <c r="K184" s="69"/>
      <c r="L184" s="69"/>
      <c r="M184" s="69"/>
    </row>
    <row r="185" spans="1:13" ht="21" customHeight="1" outlineLevel="1" x14ac:dyDescent="0.35">
      <c r="A185" s="95"/>
      <c r="B185" s="92" t="s">
        <v>70</v>
      </c>
      <c r="C185" s="93"/>
      <c r="D185" s="93"/>
      <c r="E185" s="93"/>
      <c r="F185" s="93"/>
      <c r="G185" s="93"/>
      <c r="H185" s="93"/>
      <c r="I185" s="93"/>
      <c r="J185" s="93"/>
      <c r="K185" s="93"/>
      <c r="L185" s="93"/>
      <c r="M185" s="94"/>
    </row>
    <row r="186" spans="1:13" outlineLevel="1" x14ac:dyDescent="0.25">
      <c r="A186" s="95"/>
      <c r="B186" s="48"/>
      <c r="C186" s="49"/>
      <c r="D186" s="50"/>
      <c r="E186" s="50"/>
      <c r="F186" s="50"/>
      <c r="G186" s="50"/>
      <c r="H186" s="50"/>
      <c r="I186" s="50"/>
      <c r="J186" s="50"/>
      <c r="K186" s="50"/>
      <c r="L186" s="50"/>
      <c r="M186" s="51"/>
    </row>
    <row r="187" spans="1:13" ht="15.75" outlineLevel="1" x14ac:dyDescent="0.25">
      <c r="A187" s="95"/>
      <c r="B187" s="48"/>
      <c r="C187" s="76">
        <v>2022</v>
      </c>
      <c r="D187" s="76">
        <v>2023</v>
      </c>
      <c r="E187" s="76">
        <v>2024</v>
      </c>
      <c r="F187" s="76">
        <v>2025</v>
      </c>
      <c r="G187" s="76">
        <v>2026</v>
      </c>
      <c r="H187" s="76">
        <v>2027</v>
      </c>
      <c r="I187" s="76">
        <v>2028</v>
      </c>
      <c r="J187" s="76">
        <v>2029</v>
      </c>
      <c r="K187" s="76">
        <v>2030</v>
      </c>
      <c r="L187" s="76">
        <v>2031</v>
      </c>
      <c r="M187" s="77">
        <v>2032</v>
      </c>
    </row>
    <row r="188" spans="1:13" outlineLevel="1" x14ac:dyDescent="0.25">
      <c r="A188" s="95"/>
      <c r="B188" s="48" t="s">
        <v>50</v>
      </c>
      <c r="C188" s="49"/>
      <c r="D188" s="50"/>
      <c r="E188" s="50"/>
      <c r="F188" s="50"/>
      <c r="G188" s="50"/>
      <c r="H188" s="50"/>
      <c r="I188" s="50"/>
      <c r="J188" s="50"/>
      <c r="K188" s="50"/>
      <c r="L188" s="50"/>
      <c r="M188" s="51"/>
    </row>
    <row r="189" spans="1:13" outlineLevel="1" x14ac:dyDescent="0.25">
      <c r="A189" s="95"/>
      <c r="B189" s="54" t="s">
        <v>63</v>
      </c>
      <c r="C189" s="49">
        <v>3093543</v>
      </c>
      <c r="D189" s="49">
        <f>C189*(1+D100)</f>
        <v>3093543</v>
      </c>
      <c r="E189" s="49">
        <f t="shared" ref="E189:M189" si="101">D189*(1+E100)</f>
        <v>3139946.1449999996</v>
      </c>
      <c r="F189" s="49">
        <f t="shared" si="101"/>
        <v>3045747.7606499996</v>
      </c>
      <c r="G189" s="49">
        <f t="shared" si="101"/>
        <v>3032041.8957270747</v>
      </c>
      <c r="H189" s="49">
        <f t="shared" si="101"/>
        <v>3101778.8593287971</v>
      </c>
      <c r="I189" s="49">
        <f t="shared" si="101"/>
        <v>3166916.2153747017</v>
      </c>
      <c r="J189" s="49">
        <f t="shared" si="101"/>
        <v>3242922.2045436944</v>
      </c>
      <c r="K189" s="49">
        <f t="shared" si="101"/>
        <v>3302916.2653277526</v>
      </c>
      <c r="L189" s="49">
        <f t="shared" si="101"/>
        <v>3385489.1719609462</v>
      </c>
      <c r="M189" s="55">
        <f t="shared" si="101"/>
        <v>3470126.4012599695</v>
      </c>
    </row>
    <row r="190" spans="1:13" outlineLevel="1" x14ac:dyDescent="0.25">
      <c r="A190" s="95"/>
      <c r="B190" s="54" t="s">
        <v>64</v>
      </c>
      <c r="C190" s="49">
        <v>656413</v>
      </c>
      <c r="D190" s="49">
        <f>650413*(1+2.5%)</f>
        <v>666673.32499999995</v>
      </c>
      <c r="E190" s="49">
        <f>D190</f>
        <v>666673.32499999995</v>
      </c>
      <c r="F190" s="49">
        <f t="shared" ref="F190:M190" si="102">E190</f>
        <v>666673.32499999995</v>
      </c>
      <c r="G190" s="49">
        <f t="shared" si="102"/>
        <v>666673.32499999995</v>
      </c>
      <c r="H190" s="49">
        <f t="shared" si="102"/>
        <v>666673.32499999995</v>
      </c>
      <c r="I190" s="49">
        <f t="shared" si="102"/>
        <v>666673.32499999995</v>
      </c>
      <c r="J190" s="49">
        <f t="shared" si="102"/>
        <v>666673.32499999995</v>
      </c>
      <c r="K190" s="49">
        <f t="shared" si="102"/>
        <v>666673.32499999995</v>
      </c>
      <c r="L190" s="49">
        <f t="shared" si="102"/>
        <v>666673.32499999995</v>
      </c>
      <c r="M190" s="55">
        <f t="shared" si="102"/>
        <v>666673.32499999995</v>
      </c>
    </row>
    <row r="191" spans="1:13" outlineLevel="1" x14ac:dyDescent="0.25">
      <c r="A191" s="95"/>
      <c r="B191" s="54" t="s">
        <v>54</v>
      </c>
      <c r="C191" s="49">
        <f>4141342-C189-C190-C192</f>
        <v>308650</v>
      </c>
      <c r="D191" s="49">
        <f>C191</f>
        <v>308650</v>
      </c>
      <c r="E191" s="49">
        <f t="shared" ref="E191:M191" si="103">D191</f>
        <v>308650</v>
      </c>
      <c r="F191" s="49">
        <f t="shared" si="103"/>
        <v>308650</v>
      </c>
      <c r="G191" s="49">
        <f t="shared" si="103"/>
        <v>308650</v>
      </c>
      <c r="H191" s="49">
        <f t="shared" si="103"/>
        <v>308650</v>
      </c>
      <c r="I191" s="49">
        <f t="shared" si="103"/>
        <v>308650</v>
      </c>
      <c r="J191" s="49">
        <f t="shared" si="103"/>
        <v>308650</v>
      </c>
      <c r="K191" s="49">
        <f t="shared" si="103"/>
        <v>308650</v>
      </c>
      <c r="L191" s="49">
        <f t="shared" si="103"/>
        <v>308650</v>
      </c>
      <c r="M191" s="55">
        <f t="shared" si="103"/>
        <v>308650</v>
      </c>
    </row>
    <row r="192" spans="1:13" outlineLevel="1" x14ac:dyDescent="0.25">
      <c r="A192" s="95"/>
      <c r="B192" s="54" t="s">
        <v>33</v>
      </c>
      <c r="C192" s="49">
        <v>82736</v>
      </c>
      <c r="D192" s="49">
        <v>82737</v>
      </c>
      <c r="E192" s="49">
        <v>82738</v>
      </c>
      <c r="F192" s="49">
        <v>82739</v>
      </c>
      <c r="G192" s="49">
        <v>82740</v>
      </c>
      <c r="H192" s="49">
        <v>82741</v>
      </c>
      <c r="I192" s="49">
        <v>82742</v>
      </c>
      <c r="J192" s="49">
        <v>82743</v>
      </c>
      <c r="K192" s="49">
        <v>82744</v>
      </c>
      <c r="L192" s="49">
        <v>82745</v>
      </c>
      <c r="M192" s="55">
        <v>82746</v>
      </c>
    </row>
    <row r="193" spans="1:13" outlineLevel="1" x14ac:dyDescent="0.25">
      <c r="A193" s="95"/>
      <c r="B193" s="56" t="s">
        <v>57</v>
      </c>
      <c r="C193" s="57">
        <f t="shared" ref="C193:M193" si="104">SUM(C189:C192)</f>
        <v>4141342</v>
      </c>
      <c r="D193" s="57">
        <f t="shared" si="104"/>
        <v>4151603.3250000002</v>
      </c>
      <c r="E193" s="57">
        <f t="shared" si="104"/>
        <v>4198007.47</v>
      </c>
      <c r="F193" s="57">
        <f t="shared" si="104"/>
        <v>4103810.0856499998</v>
      </c>
      <c r="G193" s="57">
        <f t="shared" si="104"/>
        <v>4090105.2207270749</v>
      </c>
      <c r="H193" s="57">
        <f t="shared" si="104"/>
        <v>4159843.1843287973</v>
      </c>
      <c r="I193" s="57">
        <f t="shared" si="104"/>
        <v>4224981.5403747018</v>
      </c>
      <c r="J193" s="57">
        <f t="shared" si="104"/>
        <v>4300988.5295436941</v>
      </c>
      <c r="K193" s="57">
        <f t="shared" si="104"/>
        <v>4360983.5903277528</v>
      </c>
      <c r="L193" s="57">
        <f t="shared" si="104"/>
        <v>4443557.4969609464</v>
      </c>
      <c r="M193" s="58">
        <f t="shared" si="104"/>
        <v>4528195.7262599692</v>
      </c>
    </row>
    <row r="194" spans="1:13" outlineLevel="1" x14ac:dyDescent="0.25">
      <c r="A194" s="95"/>
      <c r="B194" s="48"/>
      <c r="C194" s="49"/>
      <c r="D194" s="49"/>
      <c r="E194" s="49"/>
      <c r="F194" s="49"/>
      <c r="G194" s="49"/>
      <c r="H194" s="49"/>
      <c r="I194" s="49"/>
      <c r="J194" s="49"/>
      <c r="K194" s="49"/>
      <c r="L194" s="49"/>
      <c r="M194" s="55"/>
    </row>
    <row r="195" spans="1:13" outlineLevel="1" x14ac:dyDescent="0.25">
      <c r="A195" s="95"/>
      <c r="B195" s="48" t="s">
        <v>59</v>
      </c>
      <c r="C195" s="49"/>
      <c r="D195" s="49"/>
      <c r="E195" s="49"/>
      <c r="F195" s="49"/>
      <c r="G195" s="49"/>
      <c r="H195" s="49"/>
      <c r="I195" s="49"/>
      <c r="J195" s="49"/>
      <c r="K195" s="49"/>
      <c r="L195" s="49"/>
      <c r="M195" s="55"/>
    </row>
    <row r="196" spans="1:13" outlineLevel="1" x14ac:dyDescent="0.25">
      <c r="A196" s="95"/>
      <c r="B196" s="56" t="s">
        <v>27</v>
      </c>
      <c r="C196" s="52"/>
      <c r="D196" s="52"/>
      <c r="E196" s="52"/>
      <c r="F196" s="52"/>
      <c r="G196" s="52"/>
      <c r="H196" s="52"/>
      <c r="I196" s="52"/>
      <c r="J196" s="52"/>
      <c r="K196" s="52"/>
      <c r="L196" s="52"/>
      <c r="M196" s="53"/>
    </row>
    <row r="197" spans="1:13" outlineLevel="1" x14ac:dyDescent="0.25">
      <c r="A197" s="95"/>
      <c r="B197" s="59" t="s">
        <v>1</v>
      </c>
      <c r="C197" s="49">
        <f t="shared" ref="C197:M197" si="105">C44</f>
        <v>692985.27999999991</v>
      </c>
      <c r="D197" s="49">
        <f t="shared" si="105"/>
        <v>710309.91199999989</v>
      </c>
      <c r="E197" s="49">
        <f t="shared" si="105"/>
        <v>724516.11023999995</v>
      </c>
      <c r="F197" s="49">
        <f t="shared" si="105"/>
        <v>739006.43244479992</v>
      </c>
      <c r="G197" s="49">
        <f t="shared" si="105"/>
        <v>753786.56109369593</v>
      </c>
      <c r="H197" s="49">
        <f t="shared" si="105"/>
        <v>768862.29231556982</v>
      </c>
      <c r="I197" s="49">
        <f t="shared" si="105"/>
        <v>784239.53816188127</v>
      </c>
      <c r="J197" s="49">
        <f t="shared" si="105"/>
        <v>799924.3289251189</v>
      </c>
      <c r="K197" s="49">
        <f t="shared" si="105"/>
        <v>815922.81550362124</v>
      </c>
      <c r="L197" s="49">
        <f t="shared" si="105"/>
        <v>832241.27181369369</v>
      </c>
      <c r="M197" s="55">
        <f t="shared" si="105"/>
        <v>848886.09724996763</v>
      </c>
    </row>
    <row r="198" spans="1:13" outlineLevel="1" x14ac:dyDescent="0.25">
      <c r="A198" s="95"/>
      <c r="B198" s="59" t="s">
        <v>2</v>
      </c>
      <c r="C198" s="49">
        <f t="shared" ref="C198:M198" si="106">C45</f>
        <v>209862.30720000001</v>
      </c>
      <c r="D198" s="49">
        <f t="shared" si="106"/>
        <v>214059.55334400001</v>
      </c>
      <c r="E198" s="49">
        <f t="shared" si="106"/>
        <v>218340.74441088003</v>
      </c>
      <c r="F198" s="49">
        <f t="shared" si="106"/>
        <v>222707.55929909763</v>
      </c>
      <c r="G198" s="49">
        <f t="shared" si="106"/>
        <v>227161.71048507959</v>
      </c>
      <c r="H198" s="49">
        <f t="shared" si="106"/>
        <v>231704.94469478118</v>
      </c>
      <c r="I198" s="49">
        <f t="shared" si="106"/>
        <v>236339.04358867681</v>
      </c>
      <c r="J198" s="49">
        <f t="shared" si="106"/>
        <v>241065.82446045036</v>
      </c>
      <c r="K198" s="49">
        <f t="shared" si="106"/>
        <v>245887.14094965937</v>
      </c>
      <c r="L198" s="49">
        <f t="shared" si="106"/>
        <v>250804.88376865257</v>
      </c>
      <c r="M198" s="55">
        <f t="shared" si="106"/>
        <v>255820.98144402562</v>
      </c>
    </row>
    <row r="199" spans="1:13" outlineLevel="1" x14ac:dyDescent="0.25">
      <c r="A199" s="95"/>
      <c r="B199" s="59" t="s">
        <v>3</v>
      </c>
      <c r="C199" s="49">
        <f t="shared" ref="C199:M199" si="107">C46</f>
        <v>80388.456749999983</v>
      </c>
      <c r="D199" s="49">
        <f t="shared" si="107"/>
        <v>81996.225884999978</v>
      </c>
      <c r="E199" s="49">
        <f t="shared" si="107"/>
        <v>83226.169273274965</v>
      </c>
      <c r="F199" s="49">
        <f t="shared" si="107"/>
        <v>84890.69265874046</v>
      </c>
      <c r="G199" s="49">
        <f t="shared" si="107"/>
        <v>86164.053048621558</v>
      </c>
      <c r="H199" s="49">
        <f t="shared" si="107"/>
        <v>87887.334109593983</v>
      </c>
      <c r="I199" s="49">
        <f t="shared" si="107"/>
        <v>89205.644121237885</v>
      </c>
      <c r="J199" s="49">
        <f t="shared" si="107"/>
        <v>90989.757003662642</v>
      </c>
      <c r="K199" s="49">
        <f t="shared" si="107"/>
        <v>92354.603358717577</v>
      </c>
      <c r="L199" s="49">
        <f t="shared" si="107"/>
        <v>93739.922409098333</v>
      </c>
      <c r="M199" s="55">
        <f t="shared" si="107"/>
        <v>95146.021245234806</v>
      </c>
    </row>
    <row r="200" spans="1:13" outlineLevel="1" x14ac:dyDescent="0.25">
      <c r="A200" s="95"/>
      <c r="B200" s="59" t="s">
        <v>28</v>
      </c>
      <c r="C200" s="49">
        <f>C54+423-6</f>
        <v>125417</v>
      </c>
      <c r="D200" s="49">
        <f t="shared" ref="D200:M200" si="108">D54</f>
        <v>129209.19165426193</v>
      </c>
      <c r="E200" s="49">
        <f t="shared" si="108"/>
        <v>131610.95973930671</v>
      </c>
      <c r="F200" s="49">
        <f t="shared" si="108"/>
        <v>133937.97758182124</v>
      </c>
      <c r="G200" s="49">
        <f t="shared" si="108"/>
        <v>136433.01960971524</v>
      </c>
      <c r="H200" s="49">
        <f t="shared" si="108"/>
        <v>138850.84254210655</v>
      </c>
      <c r="I200" s="49">
        <f t="shared" si="108"/>
        <v>141442.79414082196</v>
      </c>
      <c r="J200" s="49">
        <f t="shared" si="108"/>
        <v>143954.97750170829</v>
      </c>
      <c r="K200" s="49">
        <f t="shared" si="108"/>
        <v>146647.61649641948</v>
      </c>
      <c r="L200" s="49">
        <f t="shared" si="108"/>
        <v>149393.4944364361</v>
      </c>
      <c r="M200" s="55">
        <f t="shared" si="108"/>
        <v>152193.66689314542</v>
      </c>
    </row>
    <row r="201" spans="1:13" outlineLevel="1" x14ac:dyDescent="0.25">
      <c r="A201" s="95"/>
      <c r="B201" s="56" t="s">
        <v>29</v>
      </c>
      <c r="C201" s="49">
        <f t="shared" ref="C201:M201" si="109">SUM(C197:C200)</f>
        <v>1108653.0439499998</v>
      </c>
      <c r="D201" s="49">
        <f t="shared" si="109"/>
        <v>1135574.8828832619</v>
      </c>
      <c r="E201" s="49">
        <f t="shared" si="109"/>
        <v>1157693.9836634616</v>
      </c>
      <c r="F201" s="49">
        <f t="shared" si="109"/>
        <v>1180542.6619844593</v>
      </c>
      <c r="G201" s="49">
        <f t="shared" si="109"/>
        <v>1203545.3442371124</v>
      </c>
      <c r="H201" s="49">
        <f t="shared" si="109"/>
        <v>1227305.4136620515</v>
      </c>
      <c r="I201" s="49">
        <f t="shared" si="109"/>
        <v>1251227.020012618</v>
      </c>
      <c r="J201" s="49">
        <f t="shared" si="109"/>
        <v>1275934.8878909403</v>
      </c>
      <c r="K201" s="49">
        <f t="shared" si="109"/>
        <v>1300812.1763084177</v>
      </c>
      <c r="L201" s="49">
        <f t="shared" si="109"/>
        <v>1326179.5724278807</v>
      </c>
      <c r="M201" s="55">
        <f t="shared" si="109"/>
        <v>1352046.7668323736</v>
      </c>
    </row>
    <row r="202" spans="1:13" ht="7.5" customHeight="1" outlineLevel="1" x14ac:dyDescent="0.25">
      <c r="A202" s="95"/>
      <c r="B202" s="60"/>
      <c r="C202" s="49"/>
      <c r="D202" s="50"/>
      <c r="E202" s="50"/>
      <c r="F202" s="50"/>
      <c r="G202" s="50"/>
      <c r="H202" s="50"/>
      <c r="I202" s="50"/>
      <c r="J202" s="50"/>
      <c r="K202" s="50"/>
      <c r="L202" s="50"/>
      <c r="M202" s="51"/>
    </row>
    <row r="203" spans="1:13" outlineLevel="1" x14ac:dyDescent="0.25">
      <c r="A203" s="95"/>
      <c r="B203" s="56" t="s">
        <v>30</v>
      </c>
      <c r="C203" s="49">
        <f t="shared" ref="C203:M203" si="110">C59</f>
        <v>21000</v>
      </c>
      <c r="D203" s="49">
        <f t="shared" si="110"/>
        <v>21451.5</v>
      </c>
      <c r="E203" s="49">
        <f t="shared" si="110"/>
        <v>21923.433000000001</v>
      </c>
      <c r="F203" s="49">
        <f t="shared" si="110"/>
        <v>22416.710242500001</v>
      </c>
      <c r="G203" s="49">
        <f t="shared" si="110"/>
        <v>22932.294578077501</v>
      </c>
      <c r="H203" s="49">
        <f t="shared" si="110"/>
        <v>23459.737353373283</v>
      </c>
      <c r="I203" s="49">
        <f t="shared" si="110"/>
        <v>24011.041181177556</v>
      </c>
      <c r="J203" s="49">
        <f t="shared" si="110"/>
        <v>24551.28960775405</v>
      </c>
      <c r="K203" s="49">
        <f t="shared" si="110"/>
        <v>25103.693623928517</v>
      </c>
      <c r="L203" s="49">
        <f t="shared" si="110"/>
        <v>25655.974883654944</v>
      </c>
      <c r="M203" s="55">
        <f t="shared" si="110"/>
        <v>26220.406331095353</v>
      </c>
    </row>
    <row r="204" spans="1:13" ht="7.5" customHeight="1" outlineLevel="1" x14ac:dyDescent="0.25">
      <c r="A204" s="95"/>
      <c r="B204" s="60"/>
      <c r="C204" s="49"/>
      <c r="D204" s="49"/>
      <c r="E204" s="49"/>
      <c r="F204" s="49"/>
      <c r="G204" s="49"/>
      <c r="H204" s="49"/>
      <c r="I204" s="49"/>
      <c r="J204" s="49"/>
      <c r="K204" s="49"/>
      <c r="L204" s="49"/>
      <c r="M204" s="55"/>
    </row>
    <row r="205" spans="1:13" outlineLevel="1" x14ac:dyDescent="0.25">
      <c r="A205" s="95"/>
      <c r="B205" s="56" t="s">
        <v>31</v>
      </c>
      <c r="C205" s="49">
        <f t="shared" ref="C205:M205" si="111">C64</f>
        <v>1245137</v>
      </c>
      <c r="D205" s="49">
        <f t="shared" si="111"/>
        <v>1271907.4455000001</v>
      </c>
      <c r="E205" s="49">
        <f t="shared" si="111"/>
        <v>1299889.4093010002</v>
      </c>
      <c r="F205" s="49">
        <f t="shared" si="111"/>
        <v>1329136.9210102726</v>
      </c>
      <c r="G205" s="49">
        <f t="shared" si="111"/>
        <v>1359707.0701935086</v>
      </c>
      <c r="H205" s="49">
        <f t="shared" si="111"/>
        <v>1390980.3328079593</v>
      </c>
      <c r="I205" s="49">
        <f t="shared" si="111"/>
        <v>1423668.3706289465</v>
      </c>
      <c r="J205" s="49">
        <f t="shared" si="111"/>
        <v>1455700.9089680978</v>
      </c>
      <c r="K205" s="49">
        <f t="shared" si="111"/>
        <v>1488454.1794198798</v>
      </c>
      <c r="L205" s="49">
        <f t="shared" si="111"/>
        <v>1521200.1713671172</v>
      </c>
      <c r="M205" s="55">
        <f t="shared" si="111"/>
        <v>1554666.5751371938</v>
      </c>
    </row>
    <row r="206" spans="1:13" ht="7.5" customHeight="1" outlineLevel="1" x14ac:dyDescent="0.25">
      <c r="A206" s="95"/>
      <c r="B206" s="60"/>
      <c r="C206" s="49"/>
      <c r="D206" s="50"/>
      <c r="E206" s="50"/>
      <c r="F206" s="50"/>
      <c r="G206" s="50"/>
      <c r="H206" s="50"/>
      <c r="I206" s="50"/>
      <c r="J206" s="50"/>
      <c r="K206" s="50"/>
      <c r="L206" s="50"/>
      <c r="M206" s="51"/>
    </row>
    <row r="207" spans="1:13" outlineLevel="1" x14ac:dyDescent="0.25">
      <c r="A207" s="95"/>
      <c r="B207" s="56" t="s">
        <v>32</v>
      </c>
      <c r="C207" s="49">
        <v>683308</v>
      </c>
      <c r="D207" s="49">
        <f>D69+58000</f>
        <v>620476</v>
      </c>
      <c r="E207" s="49">
        <f>E69+58500</f>
        <v>593547</v>
      </c>
      <c r="F207" s="49">
        <f t="shared" ref="F207:M207" si="112">F69+85000</f>
        <v>413035</v>
      </c>
      <c r="G207" s="49">
        <f t="shared" si="112"/>
        <v>321996</v>
      </c>
      <c r="H207" s="49">
        <f t="shared" si="112"/>
        <v>323415</v>
      </c>
      <c r="I207" s="49">
        <f t="shared" si="112"/>
        <v>303682</v>
      </c>
      <c r="J207" s="49">
        <f t="shared" si="112"/>
        <v>299563</v>
      </c>
      <c r="K207" s="49">
        <f t="shared" si="112"/>
        <v>275458</v>
      </c>
      <c r="L207" s="49">
        <f t="shared" si="112"/>
        <v>275458</v>
      </c>
      <c r="M207" s="55">
        <f t="shared" si="112"/>
        <v>275458</v>
      </c>
    </row>
    <row r="208" spans="1:13" ht="7.5" customHeight="1" outlineLevel="1" x14ac:dyDescent="0.25">
      <c r="A208" s="95"/>
      <c r="B208" s="60"/>
      <c r="C208" s="49"/>
      <c r="D208" s="50"/>
      <c r="E208" s="50"/>
      <c r="F208" s="50"/>
      <c r="G208" s="50"/>
      <c r="H208" s="50"/>
      <c r="I208" s="50"/>
      <c r="J208" s="50"/>
      <c r="K208" s="50"/>
      <c r="L208" s="50"/>
      <c r="M208" s="51"/>
    </row>
    <row r="209" spans="1:13" outlineLevel="1" x14ac:dyDescent="0.25">
      <c r="A209" s="95"/>
      <c r="B209" s="56" t="s">
        <v>33</v>
      </c>
      <c r="C209" s="49">
        <f t="shared" ref="C209:M209" si="113">C74</f>
        <v>38000</v>
      </c>
      <c r="D209" s="49">
        <f t="shared" si="113"/>
        <v>38000</v>
      </c>
      <c r="E209" s="49">
        <f t="shared" si="113"/>
        <v>38000</v>
      </c>
      <c r="F209" s="49">
        <f t="shared" si="113"/>
        <v>38000</v>
      </c>
      <c r="G209" s="49">
        <f t="shared" si="113"/>
        <v>38000</v>
      </c>
      <c r="H209" s="49">
        <f t="shared" si="113"/>
        <v>38000</v>
      </c>
      <c r="I209" s="49">
        <f t="shared" si="113"/>
        <v>38000</v>
      </c>
      <c r="J209" s="49">
        <f t="shared" si="113"/>
        <v>38000</v>
      </c>
      <c r="K209" s="49">
        <f t="shared" si="113"/>
        <v>38000</v>
      </c>
      <c r="L209" s="49">
        <f t="shared" si="113"/>
        <v>38000</v>
      </c>
      <c r="M209" s="55">
        <f t="shared" si="113"/>
        <v>38000</v>
      </c>
    </row>
    <row r="210" spans="1:13" ht="7.5" customHeight="1" outlineLevel="1" x14ac:dyDescent="0.25">
      <c r="A210" s="95"/>
      <c r="B210" s="60"/>
      <c r="C210" s="49"/>
      <c r="D210" s="50"/>
      <c r="E210" s="50"/>
      <c r="F210" s="50"/>
      <c r="G210" s="50"/>
      <c r="H210" s="50"/>
      <c r="I210" s="50"/>
      <c r="J210" s="50"/>
      <c r="K210" s="50"/>
      <c r="L210" s="50"/>
      <c r="M210" s="51"/>
    </row>
    <row r="211" spans="1:13" outlineLevel="1" x14ac:dyDescent="0.25">
      <c r="A211" s="95"/>
      <c r="B211" s="56" t="s">
        <v>34</v>
      </c>
      <c r="C211" s="49"/>
      <c r="D211" s="50"/>
      <c r="E211" s="50"/>
      <c r="F211" s="50"/>
      <c r="G211" s="50"/>
      <c r="H211" s="50"/>
      <c r="I211" s="50"/>
      <c r="J211" s="50"/>
      <c r="K211" s="50"/>
      <c r="L211" s="50"/>
      <c r="M211" s="51"/>
    </row>
    <row r="212" spans="1:13" outlineLevel="1" x14ac:dyDescent="0.25">
      <c r="A212" s="95"/>
      <c r="B212" s="59" t="s">
        <v>35</v>
      </c>
      <c r="C212" s="49">
        <f t="shared" ref="C212:M212" si="114">C89</f>
        <v>706781</v>
      </c>
      <c r="D212" s="49">
        <f t="shared" si="114"/>
        <v>721976.79150000005</v>
      </c>
      <c r="E212" s="49">
        <f t="shared" si="114"/>
        <v>737860.28091300011</v>
      </c>
      <c r="F212" s="49">
        <f t="shared" si="114"/>
        <v>754462.13723354263</v>
      </c>
      <c r="G212" s="49">
        <f t="shared" si="114"/>
        <v>771814.76638991409</v>
      </c>
      <c r="H212" s="49">
        <f t="shared" si="114"/>
        <v>789566.50601688202</v>
      </c>
      <c r="I212" s="49">
        <f t="shared" si="114"/>
        <v>808121.31890827883</v>
      </c>
      <c r="J212" s="49">
        <f t="shared" si="114"/>
        <v>826304.04858371511</v>
      </c>
      <c r="K212" s="49">
        <f t="shared" si="114"/>
        <v>844895.88967684866</v>
      </c>
      <c r="L212" s="49">
        <f t="shared" si="114"/>
        <v>863483.59924973932</v>
      </c>
      <c r="M212" s="55">
        <f t="shared" si="114"/>
        <v>882480.23843323358</v>
      </c>
    </row>
    <row r="213" spans="1:13" outlineLevel="1" x14ac:dyDescent="0.25">
      <c r="A213" s="95"/>
      <c r="B213" s="59" t="s">
        <v>18</v>
      </c>
      <c r="C213" s="49">
        <f t="shared" ref="C213:M213" si="115">C84</f>
        <v>87850</v>
      </c>
      <c r="D213" s="49">
        <f t="shared" si="115"/>
        <v>86871.478540569529</v>
      </c>
      <c r="E213" s="49">
        <f t="shared" si="115"/>
        <v>88563.589750254818</v>
      </c>
      <c r="F213" s="49">
        <f t="shared" si="115"/>
        <v>90311.513641811136</v>
      </c>
      <c r="G213" s="49">
        <f t="shared" si="115"/>
        <v>92071.218834139101</v>
      </c>
      <c r="H213" s="49">
        <f t="shared" si="115"/>
        <v>93888.864145146945</v>
      </c>
      <c r="I213" s="49">
        <f t="shared" si="115"/>
        <v>95718.867030965281</v>
      </c>
      <c r="J213" s="49">
        <f t="shared" si="115"/>
        <v>97609.018923656928</v>
      </c>
      <c r="K213" s="49">
        <f t="shared" si="115"/>
        <v>99512.131487593957</v>
      </c>
      <c r="L213" s="49">
        <f t="shared" si="115"/>
        <v>101452.73729073287</v>
      </c>
      <c r="M213" s="55">
        <f t="shared" si="115"/>
        <v>103431.57766267657</v>
      </c>
    </row>
    <row r="214" spans="1:13" outlineLevel="1" x14ac:dyDescent="0.25">
      <c r="A214" s="95"/>
      <c r="B214" s="59" t="s">
        <v>36</v>
      </c>
      <c r="C214" s="49">
        <f t="shared" ref="C214:M214" si="116">C94</f>
        <v>121305.3810982</v>
      </c>
      <c r="D214" s="49">
        <f t="shared" si="116"/>
        <v>124232.55329851118</v>
      </c>
      <c r="E214" s="49">
        <f t="shared" si="116"/>
        <v>126659.06644008175</v>
      </c>
      <c r="F214" s="49">
        <f t="shared" si="116"/>
        <v>129174.54609045164</v>
      </c>
      <c r="G214" s="49">
        <f t="shared" si="116"/>
        <v>131698.14479414155</v>
      </c>
      <c r="H214" s="49">
        <f t="shared" si="116"/>
        <v>134314.07911735581</v>
      </c>
      <c r="I214" s="49">
        <f t="shared" si="116"/>
        <v>136938.652261296</v>
      </c>
      <c r="J214" s="49">
        <f t="shared" si="116"/>
        <v>139659.05830024998</v>
      </c>
      <c r="K214" s="49">
        <f t="shared" si="116"/>
        <v>142388.65069498413</v>
      </c>
      <c r="L214" s="49">
        <f t="shared" si="116"/>
        <v>145172.00772432089</v>
      </c>
      <c r="M214" s="55">
        <f t="shared" si="116"/>
        <v>148010.1922727529</v>
      </c>
    </row>
    <row r="215" spans="1:13" outlineLevel="1" x14ac:dyDescent="0.25">
      <c r="A215" s="95"/>
      <c r="B215" s="59" t="s">
        <v>37</v>
      </c>
      <c r="C215" s="49">
        <f t="shared" ref="C215:M215" si="117">C79</f>
        <v>129307.6189018</v>
      </c>
      <c r="D215" s="49">
        <f t="shared" si="117"/>
        <v>130697.67580499436</v>
      </c>
      <c r="E215" s="49">
        <f t="shared" si="117"/>
        <v>132135.35023884929</v>
      </c>
      <c r="F215" s="49">
        <f t="shared" si="117"/>
        <v>133621.87292903636</v>
      </c>
      <c r="G215" s="49">
        <f t="shared" si="117"/>
        <v>135158.52446772027</v>
      </c>
      <c r="H215" s="49">
        <f t="shared" si="117"/>
        <v>136712.84749909907</v>
      </c>
      <c r="I215" s="49">
        <f t="shared" si="117"/>
        <v>138319.22345721346</v>
      </c>
      <c r="J215" s="49">
        <f t="shared" si="117"/>
        <v>139875.3147211071</v>
      </c>
      <c r="K215" s="49">
        <f t="shared" si="117"/>
        <v>141448.91201171957</v>
      </c>
      <c r="L215" s="49">
        <f t="shared" si="117"/>
        <v>143004.85004384848</v>
      </c>
      <c r="M215" s="55">
        <f t="shared" si="117"/>
        <v>144577.90339433079</v>
      </c>
    </row>
    <row r="216" spans="1:13" outlineLevel="1" x14ac:dyDescent="0.25">
      <c r="A216" s="95"/>
      <c r="B216" s="56" t="s">
        <v>38</v>
      </c>
      <c r="C216" s="49">
        <f>SUM(C212:C215)</f>
        <v>1045244</v>
      </c>
      <c r="D216" s="49">
        <f t="shared" ref="D216" si="118">SUM(D212:D215)</f>
        <v>1063778.4991440752</v>
      </c>
      <c r="E216" s="49">
        <f t="shared" ref="E216" si="119">SUM(E212:E215)</f>
        <v>1085218.2873421861</v>
      </c>
      <c r="F216" s="49">
        <f t="shared" ref="F216" si="120">SUM(F212:F215)</f>
        <v>1107570.0698948416</v>
      </c>
      <c r="G216" s="49">
        <f t="shared" ref="G216" si="121">SUM(G212:G215)</f>
        <v>1130742.6544859149</v>
      </c>
      <c r="H216" s="49">
        <f t="shared" ref="H216" si="122">SUM(H212:H215)</f>
        <v>1154482.2967784838</v>
      </c>
      <c r="I216" s="49">
        <f t="shared" ref="I216" si="123">SUM(I212:I215)</f>
        <v>1179098.0616577535</v>
      </c>
      <c r="J216" s="49">
        <f t="shared" ref="J216" si="124">SUM(J212:J215)</f>
        <v>1203447.440528729</v>
      </c>
      <c r="K216" s="49">
        <f t="shared" ref="K216" si="125">SUM(K212:K215)</f>
        <v>1228245.5838711464</v>
      </c>
      <c r="L216" s="49">
        <f t="shared" ref="L216" si="126">SUM(L212:L215)</f>
        <v>1253113.1943086416</v>
      </c>
      <c r="M216" s="55">
        <f t="shared" ref="M216" si="127">SUM(M212:M215)</f>
        <v>1278499.9117629938</v>
      </c>
    </row>
    <row r="217" spans="1:13" ht="7.5" customHeight="1" outlineLevel="1" x14ac:dyDescent="0.25">
      <c r="A217" s="95"/>
      <c r="B217" s="60"/>
      <c r="C217" s="49"/>
      <c r="D217" s="50"/>
      <c r="E217" s="50"/>
      <c r="F217" s="50"/>
      <c r="G217" s="50"/>
      <c r="H217" s="50"/>
      <c r="I217" s="50"/>
      <c r="J217" s="50"/>
      <c r="K217" s="50"/>
      <c r="L217" s="50"/>
      <c r="M217" s="51"/>
    </row>
    <row r="218" spans="1:13" outlineLevel="1" x14ac:dyDescent="0.25">
      <c r="A218" s="95"/>
      <c r="B218" s="61" t="s">
        <v>60</v>
      </c>
      <c r="C218" s="57">
        <f>C216+C209+C207+C205+C203+C201</f>
        <v>4141342.0439499998</v>
      </c>
      <c r="D218" s="57">
        <f t="shared" ref="D218:M218" si="128">D216+D209+D207+D205+D203+D201</f>
        <v>4151188.3275273372</v>
      </c>
      <c r="E218" s="57">
        <f t="shared" si="128"/>
        <v>4196272.1133066481</v>
      </c>
      <c r="F218" s="57">
        <f t="shared" si="128"/>
        <v>4090701.3631320735</v>
      </c>
      <c r="G218" s="57">
        <f t="shared" si="128"/>
        <v>4076923.3634946132</v>
      </c>
      <c r="H218" s="57">
        <f t="shared" si="128"/>
        <v>4157642.7806018684</v>
      </c>
      <c r="I218" s="57">
        <f t="shared" si="128"/>
        <v>4219686.4934804961</v>
      </c>
      <c r="J218" s="57">
        <f t="shared" si="128"/>
        <v>4297197.526995521</v>
      </c>
      <c r="K218" s="57">
        <f t="shared" si="128"/>
        <v>4356073.6332233725</v>
      </c>
      <c r="L218" s="57">
        <f t="shared" si="128"/>
        <v>4439606.9129872946</v>
      </c>
      <c r="M218" s="58">
        <f t="shared" si="128"/>
        <v>4524891.660063656</v>
      </c>
    </row>
    <row r="219" spans="1:13" ht="15.75" outlineLevel="1" thickBot="1" x14ac:dyDescent="0.3">
      <c r="A219" s="95"/>
      <c r="B219" s="65"/>
      <c r="C219" s="66"/>
      <c r="D219" s="67"/>
      <c r="E219" s="67"/>
      <c r="F219" s="67"/>
      <c r="G219" s="67"/>
      <c r="H219" s="67"/>
      <c r="I219" s="67"/>
      <c r="J219" s="67"/>
      <c r="K219" s="67"/>
      <c r="L219" s="67"/>
      <c r="M219" s="68"/>
    </row>
    <row r="220" spans="1:13" ht="15.75" outlineLevel="1" thickTop="1" x14ac:dyDescent="0.25">
      <c r="A220" s="95"/>
      <c r="B220" s="61" t="s">
        <v>61</v>
      </c>
      <c r="C220" s="57">
        <f>C193-C218</f>
        <v>-4.394999984651804E-2</v>
      </c>
      <c r="D220" s="57">
        <f t="shared" ref="D220:M220" si="129">D193-D218</f>
        <v>414.99747266294435</v>
      </c>
      <c r="E220" s="57">
        <f t="shared" si="129"/>
        <v>1735.3566933516413</v>
      </c>
      <c r="F220" s="57">
        <f t="shared" si="129"/>
        <v>13108.722517926246</v>
      </c>
      <c r="G220" s="57">
        <f t="shared" si="129"/>
        <v>13181.857232461683</v>
      </c>
      <c r="H220" s="57">
        <f t="shared" si="129"/>
        <v>2200.4037269288674</v>
      </c>
      <c r="I220" s="57">
        <f t="shared" si="129"/>
        <v>5295.0468942057341</v>
      </c>
      <c r="J220" s="57">
        <f t="shared" si="129"/>
        <v>3791.00254817307</v>
      </c>
      <c r="K220" s="57">
        <f t="shared" si="129"/>
        <v>4909.9571043802425</v>
      </c>
      <c r="L220" s="57">
        <f t="shared" si="129"/>
        <v>3950.5839736517519</v>
      </c>
      <c r="M220" s="58">
        <f t="shared" si="129"/>
        <v>3304.0661963131279</v>
      </c>
    </row>
    <row r="221" spans="1:13" ht="15.75" outlineLevel="1" thickBot="1" x14ac:dyDescent="0.3">
      <c r="A221" s="95"/>
      <c r="B221" s="71" t="s">
        <v>76</v>
      </c>
      <c r="C221" s="72"/>
      <c r="D221" s="73">
        <f>((D218-D192-D191-D190)-C189)/C189</f>
        <v>-1.3414957305021418E-4</v>
      </c>
      <c r="E221" s="73">
        <f t="shared" ref="E221:M221" si="130">((E218-E192-E191-E190)-D189)/D189</f>
        <v>1.4439039090986585E-2</v>
      </c>
      <c r="F221" s="73">
        <f t="shared" si="130"/>
        <v>-3.4174823997793827E-2</v>
      </c>
      <c r="G221" s="73">
        <f t="shared" si="130"/>
        <v>-8.8279543377710358E-3</v>
      </c>
      <c r="H221" s="73">
        <f t="shared" si="130"/>
        <v>2.2274283204981388E-2</v>
      </c>
      <c r="I221" s="73">
        <f t="shared" si="130"/>
        <v>1.9292899934409989E-2</v>
      </c>
      <c r="J221" s="73">
        <f t="shared" si="130"/>
        <v>2.280293563506065E-2</v>
      </c>
      <c r="K221" s="73">
        <f t="shared" si="130"/>
        <v>1.698594668798992E-2</v>
      </c>
      <c r="L221" s="73">
        <f t="shared" si="130"/>
        <v>2.3803910345798627E-2</v>
      </c>
      <c r="M221" s="74">
        <f t="shared" si="130"/>
        <v>2.4024050579254937E-2</v>
      </c>
    </row>
    <row r="222" spans="1:13" ht="15.75" thickBot="1" x14ac:dyDescent="0.3"/>
    <row r="223" spans="1:13" ht="21" outlineLevel="1" x14ac:dyDescent="0.35">
      <c r="A223" s="95"/>
      <c r="B223" s="92" t="s">
        <v>73</v>
      </c>
      <c r="C223" s="93"/>
      <c r="D223" s="93"/>
      <c r="E223" s="93"/>
      <c r="F223" s="93"/>
      <c r="G223" s="93"/>
      <c r="H223" s="93"/>
      <c r="I223" s="93"/>
      <c r="J223" s="93"/>
      <c r="K223" s="93"/>
      <c r="L223" s="93"/>
      <c r="M223" s="94"/>
    </row>
    <row r="224" spans="1:13" outlineLevel="1" x14ac:dyDescent="0.25">
      <c r="A224" s="95"/>
      <c r="B224" s="48"/>
      <c r="C224" s="49"/>
      <c r="D224" s="50"/>
      <c r="E224" s="50"/>
      <c r="F224" s="50"/>
      <c r="G224" s="50"/>
      <c r="H224" s="50"/>
      <c r="I224" s="50"/>
      <c r="J224" s="50"/>
      <c r="K224" s="50"/>
      <c r="L224" s="50"/>
      <c r="M224" s="51"/>
    </row>
    <row r="225" spans="1:13" ht="15.75" outlineLevel="1" x14ac:dyDescent="0.25">
      <c r="A225" s="95"/>
      <c r="B225" s="48"/>
      <c r="C225" s="76">
        <v>2022</v>
      </c>
      <c r="D225" s="76">
        <v>2023</v>
      </c>
      <c r="E225" s="76">
        <v>2024</v>
      </c>
      <c r="F225" s="76">
        <v>2025</v>
      </c>
      <c r="G225" s="76">
        <v>2026</v>
      </c>
      <c r="H225" s="76">
        <v>2027</v>
      </c>
      <c r="I225" s="76">
        <v>2028</v>
      </c>
      <c r="J225" s="76">
        <v>2029</v>
      </c>
      <c r="K225" s="76">
        <v>2030</v>
      </c>
      <c r="L225" s="76">
        <v>2031</v>
      </c>
      <c r="M225" s="77">
        <v>2032</v>
      </c>
    </row>
    <row r="226" spans="1:13" ht="15.75" outlineLevel="1" x14ac:dyDescent="0.25">
      <c r="A226" s="95"/>
      <c r="B226" s="48" t="s">
        <v>50</v>
      </c>
      <c r="C226" s="78"/>
      <c r="D226" s="79"/>
      <c r="E226" s="79"/>
      <c r="F226" s="79"/>
      <c r="G226" s="79"/>
      <c r="H226" s="79"/>
      <c r="I226" s="79"/>
      <c r="J226" s="79"/>
      <c r="K226" s="79"/>
      <c r="L226" s="79"/>
      <c r="M226" s="80"/>
    </row>
    <row r="227" spans="1:13" outlineLevel="1" x14ac:dyDescent="0.25">
      <c r="A227" s="95"/>
      <c r="B227" s="75" t="s">
        <v>74</v>
      </c>
      <c r="C227" s="49">
        <v>1411836</v>
      </c>
      <c r="D227" s="49">
        <f>C227*(1+D101)</f>
        <v>1440072.72</v>
      </c>
      <c r="E227" s="49">
        <f t="shared" ref="E227:M227" si="131">D227*(1+E101)</f>
        <v>1468874.1743999999</v>
      </c>
      <c r="F227" s="49">
        <f t="shared" si="131"/>
        <v>1468874.1743999999</v>
      </c>
      <c r="G227" s="49">
        <f t="shared" si="131"/>
        <v>1494579.472452</v>
      </c>
      <c r="H227" s="49">
        <f t="shared" si="131"/>
        <v>1526862.3890569634</v>
      </c>
      <c r="I227" s="49">
        <f t="shared" si="131"/>
        <v>1560911.4203329335</v>
      </c>
      <c r="J227" s="49">
        <f t="shared" si="131"/>
        <v>1594002.7424439918</v>
      </c>
      <c r="K227" s="49">
        <f t="shared" si="131"/>
        <v>1628114.4011322933</v>
      </c>
      <c r="L227" s="49">
        <f t="shared" si="131"/>
        <v>1662141.9921159581</v>
      </c>
      <c r="M227" s="55">
        <f t="shared" si="131"/>
        <v>1696880.7597511816</v>
      </c>
    </row>
    <row r="228" spans="1:13" outlineLevel="1" x14ac:dyDescent="0.25">
      <c r="A228" s="95"/>
      <c r="B228" s="75" t="s">
        <v>54</v>
      </c>
      <c r="C228" s="49">
        <v>17000</v>
      </c>
      <c r="D228" s="49">
        <f>C228</f>
        <v>17000</v>
      </c>
      <c r="E228" s="49">
        <f t="shared" ref="E228:M228" si="132">D228</f>
        <v>17000</v>
      </c>
      <c r="F228" s="49">
        <f t="shared" si="132"/>
        <v>17000</v>
      </c>
      <c r="G228" s="49">
        <f t="shared" si="132"/>
        <v>17000</v>
      </c>
      <c r="H228" s="49">
        <f t="shared" si="132"/>
        <v>17000</v>
      </c>
      <c r="I228" s="49">
        <f t="shared" si="132"/>
        <v>17000</v>
      </c>
      <c r="J228" s="49">
        <f t="shared" si="132"/>
        <v>17000</v>
      </c>
      <c r="K228" s="49">
        <f t="shared" si="132"/>
        <v>17000</v>
      </c>
      <c r="L228" s="49">
        <f t="shared" si="132"/>
        <v>17000</v>
      </c>
      <c r="M228" s="55">
        <f t="shared" si="132"/>
        <v>17000</v>
      </c>
    </row>
    <row r="229" spans="1:13" outlineLevel="1" x14ac:dyDescent="0.25">
      <c r="A229" s="95"/>
      <c r="B229" s="61" t="s">
        <v>57</v>
      </c>
      <c r="C229" s="57">
        <f t="shared" ref="C229:M229" si="133">SUM(C227:C228)</f>
        <v>1428836</v>
      </c>
      <c r="D229" s="57">
        <f t="shared" si="133"/>
        <v>1457072.72</v>
      </c>
      <c r="E229" s="57">
        <f t="shared" si="133"/>
        <v>1485874.1743999999</v>
      </c>
      <c r="F229" s="57">
        <f t="shared" si="133"/>
        <v>1485874.1743999999</v>
      </c>
      <c r="G229" s="57">
        <f t="shared" si="133"/>
        <v>1511579.472452</v>
      </c>
      <c r="H229" s="57">
        <f t="shared" si="133"/>
        <v>1543862.3890569634</v>
      </c>
      <c r="I229" s="57">
        <f t="shared" si="133"/>
        <v>1577911.4203329335</v>
      </c>
      <c r="J229" s="57">
        <f t="shared" si="133"/>
        <v>1611002.7424439918</v>
      </c>
      <c r="K229" s="57">
        <f t="shared" si="133"/>
        <v>1645114.4011322933</v>
      </c>
      <c r="L229" s="57">
        <f t="shared" si="133"/>
        <v>1679141.9921159581</v>
      </c>
      <c r="M229" s="58">
        <f t="shared" si="133"/>
        <v>1713880.7597511816</v>
      </c>
    </row>
    <row r="230" spans="1:13" outlineLevel="1" x14ac:dyDescent="0.25">
      <c r="A230" s="95"/>
      <c r="B230" s="48"/>
      <c r="C230" s="49"/>
      <c r="D230" s="49"/>
      <c r="E230" s="49"/>
      <c r="F230" s="49"/>
      <c r="G230" s="49"/>
      <c r="H230" s="49"/>
      <c r="I230" s="49"/>
      <c r="J230" s="49"/>
      <c r="K230" s="49"/>
      <c r="L230" s="49"/>
      <c r="M230" s="55"/>
    </row>
    <row r="231" spans="1:13" outlineLevel="1" x14ac:dyDescent="0.25">
      <c r="A231" s="95"/>
      <c r="B231" s="48" t="s">
        <v>59</v>
      </c>
      <c r="C231" s="49"/>
      <c r="D231" s="49"/>
      <c r="E231" s="49"/>
      <c r="F231" s="49"/>
      <c r="G231" s="49"/>
      <c r="H231" s="49"/>
      <c r="I231" s="49"/>
      <c r="J231" s="49"/>
      <c r="K231" s="49"/>
      <c r="L231" s="49"/>
      <c r="M231" s="55"/>
    </row>
    <row r="232" spans="1:13" outlineLevel="1" x14ac:dyDescent="0.25">
      <c r="A232" s="95"/>
      <c r="B232" s="75" t="s">
        <v>30</v>
      </c>
      <c r="C232" s="49">
        <v>25000</v>
      </c>
      <c r="D232" s="49">
        <v>25000</v>
      </c>
      <c r="E232" s="49">
        <v>25000</v>
      </c>
      <c r="F232" s="49">
        <v>25000</v>
      </c>
      <c r="G232" s="49">
        <v>25000</v>
      </c>
      <c r="H232" s="49">
        <v>25000</v>
      </c>
      <c r="I232" s="49">
        <v>25000</v>
      </c>
      <c r="J232" s="49">
        <v>25000</v>
      </c>
      <c r="K232" s="49">
        <v>25000</v>
      </c>
      <c r="L232" s="49">
        <v>25000</v>
      </c>
      <c r="M232" s="55">
        <v>25000</v>
      </c>
    </row>
    <row r="233" spans="1:13" outlineLevel="1" x14ac:dyDescent="0.25">
      <c r="A233" s="95"/>
      <c r="B233" s="75" t="s">
        <v>31</v>
      </c>
      <c r="C233" s="49">
        <f>1367405-C235</f>
        <v>1292405</v>
      </c>
      <c r="D233" s="49">
        <f>C233*(1+D25)</f>
        <v>1320191.7075</v>
      </c>
      <c r="E233" s="49">
        <f t="shared" ref="E233:M233" si="134">D233*(1+E25)</f>
        <v>1349235.9250650001</v>
      </c>
      <c r="F233" s="49">
        <f t="shared" si="134"/>
        <v>1379593.7333789626</v>
      </c>
      <c r="G233" s="49">
        <f t="shared" si="134"/>
        <v>1411324.3892466787</v>
      </c>
      <c r="H233" s="49">
        <f t="shared" si="134"/>
        <v>1443784.8501993523</v>
      </c>
      <c r="I233" s="49">
        <f t="shared" si="134"/>
        <v>1477713.7941790372</v>
      </c>
      <c r="J233" s="49">
        <f t="shared" si="134"/>
        <v>1510962.3545480655</v>
      </c>
      <c r="K233" s="49">
        <f t="shared" si="134"/>
        <v>1544959.0075253968</v>
      </c>
      <c r="L233" s="49">
        <f t="shared" si="134"/>
        <v>1578948.1056909554</v>
      </c>
      <c r="M233" s="55">
        <f t="shared" si="134"/>
        <v>1613684.9640161565</v>
      </c>
    </row>
    <row r="234" spans="1:13" outlineLevel="1" x14ac:dyDescent="0.25">
      <c r="A234" s="95"/>
      <c r="B234" s="75" t="s">
        <v>32</v>
      </c>
      <c r="C234" s="49">
        <v>36431</v>
      </c>
      <c r="D234" s="49">
        <v>36492</v>
      </c>
      <c r="E234" s="49">
        <v>36477</v>
      </c>
      <c r="F234" s="49">
        <v>0</v>
      </c>
      <c r="G234" s="49">
        <v>0</v>
      </c>
      <c r="H234" s="49">
        <v>0</v>
      </c>
      <c r="I234" s="49">
        <v>0</v>
      </c>
      <c r="J234" s="49">
        <v>0</v>
      </c>
      <c r="K234" s="49">
        <v>0</v>
      </c>
      <c r="L234" s="49">
        <v>0</v>
      </c>
      <c r="M234" s="55">
        <v>0</v>
      </c>
    </row>
    <row r="235" spans="1:13" outlineLevel="1" x14ac:dyDescent="0.25">
      <c r="A235" s="95"/>
      <c r="B235" s="75" t="s">
        <v>33</v>
      </c>
      <c r="C235" s="49">
        <v>75000</v>
      </c>
      <c r="D235" s="49">
        <f>C235</f>
        <v>75000</v>
      </c>
      <c r="E235" s="49">
        <f t="shared" ref="E235:M235" si="135">D235</f>
        <v>75000</v>
      </c>
      <c r="F235" s="49">
        <f t="shared" si="135"/>
        <v>75000</v>
      </c>
      <c r="G235" s="49">
        <f t="shared" si="135"/>
        <v>75000</v>
      </c>
      <c r="H235" s="49">
        <f t="shared" si="135"/>
        <v>75000</v>
      </c>
      <c r="I235" s="49">
        <f t="shared" si="135"/>
        <v>75000</v>
      </c>
      <c r="J235" s="49">
        <f t="shared" si="135"/>
        <v>75000</v>
      </c>
      <c r="K235" s="49">
        <f t="shared" si="135"/>
        <v>75000</v>
      </c>
      <c r="L235" s="49">
        <f t="shared" si="135"/>
        <v>75000</v>
      </c>
      <c r="M235" s="55">
        <f t="shared" si="135"/>
        <v>75000</v>
      </c>
    </row>
    <row r="236" spans="1:13" outlineLevel="1" x14ac:dyDescent="0.25">
      <c r="A236" s="95"/>
      <c r="B236" s="61" t="s">
        <v>60</v>
      </c>
      <c r="C236" s="57">
        <f>C232+C233+C234+C235</f>
        <v>1428836</v>
      </c>
      <c r="D236" s="57">
        <f t="shared" ref="D236:M236" si="136">D232+D233+D234+D235</f>
        <v>1456683.7075</v>
      </c>
      <c r="E236" s="57">
        <f t="shared" si="136"/>
        <v>1485712.9250650001</v>
      </c>
      <c r="F236" s="57">
        <f t="shared" si="136"/>
        <v>1479593.7333789626</v>
      </c>
      <c r="G236" s="57">
        <f t="shared" si="136"/>
        <v>1511324.3892466787</v>
      </c>
      <c r="H236" s="57">
        <f t="shared" si="136"/>
        <v>1543784.8501993523</v>
      </c>
      <c r="I236" s="57">
        <f t="shared" si="136"/>
        <v>1577713.7941790372</v>
      </c>
      <c r="J236" s="57">
        <f t="shared" si="136"/>
        <v>1610962.3545480655</v>
      </c>
      <c r="K236" s="57">
        <f t="shared" si="136"/>
        <v>1644959.0075253968</v>
      </c>
      <c r="L236" s="57">
        <f t="shared" si="136"/>
        <v>1678948.1056909554</v>
      </c>
      <c r="M236" s="58">
        <f t="shared" si="136"/>
        <v>1713684.9640161565</v>
      </c>
    </row>
    <row r="237" spans="1:13" ht="15.75" outlineLevel="1" thickBot="1" x14ac:dyDescent="0.3">
      <c r="A237" s="95"/>
      <c r="B237" s="65"/>
      <c r="C237" s="66"/>
      <c r="D237" s="67"/>
      <c r="E237" s="67"/>
      <c r="F237" s="67"/>
      <c r="G237" s="67"/>
      <c r="H237" s="67"/>
      <c r="I237" s="67"/>
      <c r="J237" s="67"/>
      <c r="K237" s="67"/>
      <c r="L237" s="67"/>
      <c r="M237" s="68"/>
    </row>
    <row r="238" spans="1:13" ht="15.75" outlineLevel="1" thickTop="1" x14ac:dyDescent="0.25">
      <c r="A238" s="95"/>
      <c r="B238" s="61" t="s">
        <v>61</v>
      </c>
      <c r="C238" s="57">
        <f>C229-C236</f>
        <v>0</v>
      </c>
      <c r="D238" s="57">
        <f t="shared" ref="D238:M238" si="137">D229-D236</f>
        <v>389.01249999995343</v>
      </c>
      <c r="E238" s="57">
        <f t="shared" si="137"/>
        <v>161.24933499982581</v>
      </c>
      <c r="F238" s="57">
        <f t="shared" si="137"/>
        <v>6280.441021037288</v>
      </c>
      <c r="G238" s="57">
        <f t="shared" si="137"/>
        <v>255.08320532133803</v>
      </c>
      <c r="H238" s="57">
        <f t="shared" si="137"/>
        <v>77.53885761112906</v>
      </c>
      <c r="I238" s="57">
        <f t="shared" si="137"/>
        <v>197.62615389632992</v>
      </c>
      <c r="J238" s="57">
        <f t="shared" si="137"/>
        <v>40.387895926367491</v>
      </c>
      <c r="K238" s="57">
        <f t="shared" si="137"/>
        <v>155.39360689651221</v>
      </c>
      <c r="L238" s="57">
        <f t="shared" si="137"/>
        <v>193.88642500271089</v>
      </c>
      <c r="M238" s="58">
        <f t="shared" si="137"/>
        <v>195.79573502507992</v>
      </c>
    </row>
    <row r="239" spans="1:13" ht="15.75" outlineLevel="1" thickBot="1" x14ac:dyDescent="0.3">
      <c r="A239" s="95"/>
      <c r="B239" s="71" t="s">
        <v>75</v>
      </c>
      <c r="C239" s="72"/>
      <c r="D239" s="73">
        <f>((D236-D228)-C227)/C227</f>
        <v>1.9724463393765296E-2</v>
      </c>
      <c r="E239" s="73">
        <f>((E236-E228)-D227)/D227</f>
        <v>1.9888026949777999E-2</v>
      </c>
      <c r="F239" s="73">
        <f t="shared" ref="F239:M239" si="138">((F236-F228)-E227)/E227</f>
        <v>-4.2756834659460861E-3</v>
      </c>
      <c r="G239" s="73">
        <f t="shared" si="138"/>
        <v>1.7326341010164864E-2</v>
      </c>
      <c r="H239" s="73">
        <f t="shared" si="138"/>
        <v>2.1548119950099573E-2</v>
      </c>
      <c r="I239" s="73">
        <f t="shared" si="138"/>
        <v>2.2170567147823641E-2</v>
      </c>
      <c r="J239" s="73">
        <f t="shared" si="138"/>
        <v>2.1174125440175419E-2</v>
      </c>
      <c r="K239" s="73">
        <f t="shared" si="138"/>
        <v>2.130251358874187E-2</v>
      </c>
      <c r="L239" s="73">
        <f t="shared" si="138"/>
        <v>2.0780913512669655E-2</v>
      </c>
      <c r="M239" s="74">
        <f t="shared" si="138"/>
        <v>2.0782202762487281E-2</v>
      </c>
    </row>
  </sheetData>
  <mergeCells count="10">
    <mergeCell ref="B2:M9"/>
    <mergeCell ref="B223:M223"/>
    <mergeCell ref="A103:A146"/>
    <mergeCell ref="A148:A183"/>
    <mergeCell ref="A185:A221"/>
    <mergeCell ref="A223:A239"/>
    <mergeCell ref="B103:M103"/>
    <mergeCell ref="B148:M148"/>
    <mergeCell ref="B185:M185"/>
    <mergeCell ref="B10:M10"/>
  </mergeCells>
  <conditionalFormatting sqref="D145:M145 D182:M182 D220:M220">
    <cfRule type="cellIs" dxfId="1" priority="2" operator="lessThan">
      <formula>0</formula>
    </cfRule>
  </conditionalFormatting>
  <conditionalFormatting sqref="C238:M238">
    <cfRule type="cellIs" dxfId="0" priority="1" operator="lessThan">
      <formula>0</formula>
    </cfRule>
  </conditionalFormatting>
  <hyperlinks>
    <hyperlink ref="B26" r:id="rId1" location="6"/>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Model</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Russo</dc:creator>
  <cp:lastModifiedBy>Timothy Russo</cp:lastModifiedBy>
  <cp:lastPrinted>2022-02-28T18:11:51Z</cp:lastPrinted>
  <dcterms:created xsi:type="dcterms:W3CDTF">2022-02-28T15:39:16Z</dcterms:created>
  <dcterms:modified xsi:type="dcterms:W3CDTF">2022-03-02T18:16:03Z</dcterms:modified>
</cp:coreProperties>
</file>