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Finance\5 - FINANCIAL MANAGEMENT\2 - MULTI-YEAR PROJECTIONS\FY 2023 Forecast\"/>
    </mc:Choice>
  </mc:AlternateContent>
  <bookViews>
    <workbookView xWindow="0" yWindow="0" windowWidth="28800" windowHeight="12300"/>
  </bookViews>
  <sheets>
    <sheet name="Model"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1" i="1" l="1"/>
  <c r="E121" i="1" s="1"/>
  <c r="F121" i="1" s="1"/>
  <c r="G121" i="1" s="1"/>
  <c r="H121" i="1" s="1"/>
  <c r="I121" i="1" s="1"/>
  <c r="J121" i="1" s="1"/>
  <c r="K121" i="1" s="1"/>
  <c r="L121" i="1" s="1"/>
  <c r="M121" i="1" s="1"/>
  <c r="D119" i="1"/>
  <c r="D118" i="1"/>
  <c r="D124" i="1"/>
  <c r="D201" i="1"/>
  <c r="E203" i="1"/>
  <c r="F203" i="1"/>
  <c r="G203" i="1"/>
  <c r="H203" i="1"/>
  <c r="I203" i="1"/>
  <c r="J203" i="1"/>
  <c r="K203" i="1"/>
  <c r="L203" i="1"/>
  <c r="M203" i="1"/>
  <c r="D203" i="1"/>
  <c r="E219" i="1"/>
  <c r="F219" i="1"/>
  <c r="G219" i="1"/>
  <c r="H219" i="1"/>
  <c r="I219" i="1"/>
  <c r="J219" i="1"/>
  <c r="K219" i="1"/>
  <c r="L219" i="1"/>
  <c r="M219" i="1"/>
  <c r="D219" i="1"/>
  <c r="E181" i="1"/>
  <c r="F181" i="1"/>
  <c r="G181" i="1"/>
  <c r="H181" i="1"/>
  <c r="I181" i="1"/>
  <c r="J181" i="1"/>
  <c r="K181" i="1"/>
  <c r="L181" i="1"/>
  <c r="M181" i="1"/>
  <c r="D181" i="1"/>
  <c r="E144" i="1"/>
  <c r="F144" i="1"/>
  <c r="G144" i="1"/>
  <c r="H144" i="1"/>
  <c r="I144" i="1"/>
  <c r="J144" i="1"/>
  <c r="K144" i="1"/>
  <c r="L144" i="1"/>
  <c r="M144" i="1"/>
  <c r="D144" i="1"/>
  <c r="G244" i="1" l="1"/>
  <c r="H244" i="1" s="1"/>
  <c r="I244" i="1" s="1"/>
  <c r="J244" i="1" s="1"/>
  <c r="K244" i="1" s="1"/>
  <c r="L244" i="1" s="1"/>
  <c r="M244" i="1" s="1"/>
  <c r="C245" i="1" l="1"/>
  <c r="C246" i="1"/>
  <c r="C68" i="1"/>
  <c r="D202" i="1"/>
  <c r="E202" i="1" s="1"/>
  <c r="F202" i="1" s="1"/>
  <c r="G202" i="1" s="1"/>
  <c r="H202" i="1" s="1"/>
  <c r="I202" i="1" s="1"/>
  <c r="J202" i="1" s="1"/>
  <c r="K202" i="1" s="1"/>
  <c r="L202" i="1" s="1"/>
  <c r="M202" i="1" s="1"/>
  <c r="C165" i="1"/>
  <c r="D164" i="1"/>
  <c r="D183" i="1"/>
  <c r="C183" i="1"/>
  <c r="C181" i="1"/>
  <c r="C179" i="1"/>
  <c r="C177" i="1"/>
  <c r="D33" i="1"/>
  <c r="D35" i="1"/>
  <c r="C122" i="1"/>
  <c r="C127" i="1" l="1"/>
  <c r="D122" i="1"/>
  <c r="E122" i="1" s="1"/>
  <c r="F122" i="1" s="1"/>
  <c r="G122" i="1" s="1"/>
  <c r="H122" i="1" s="1"/>
  <c r="I122" i="1" s="1"/>
  <c r="J122" i="1" s="1"/>
  <c r="K122" i="1" s="1"/>
  <c r="L122" i="1" s="1"/>
  <c r="M122" i="1" s="1"/>
  <c r="C219" i="1"/>
  <c r="C144" i="1"/>
  <c r="C89" i="1" l="1"/>
  <c r="C88" i="1"/>
  <c r="C87" i="1"/>
  <c r="D82" i="1"/>
  <c r="C52" i="1"/>
  <c r="C53" i="1"/>
  <c r="C37" i="1"/>
  <c r="C51" i="1" s="1"/>
  <c r="C137" i="1" s="1"/>
  <c r="C136" i="1" l="1"/>
  <c r="E21" i="1" l="1"/>
  <c r="D239" i="1" l="1"/>
  <c r="E247" i="1"/>
  <c r="G247" i="1" s="1"/>
  <c r="I247" i="1" s="1"/>
  <c r="C248" i="1"/>
  <c r="D240" i="1"/>
  <c r="E240" i="1" s="1"/>
  <c r="F240" i="1" s="1"/>
  <c r="G240" i="1" s="1"/>
  <c r="H240" i="1" s="1"/>
  <c r="I240" i="1" s="1"/>
  <c r="J240" i="1" s="1"/>
  <c r="K240" i="1" s="1"/>
  <c r="L240" i="1" s="1"/>
  <c r="M240" i="1" s="1"/>
  <c r="E201" i="1"/>
  <c r="F201" i="1" s="1"/>
  <c r="G201" i="1" s="1"/>
  <c r="H201" i="1" s="1"/>
  <c r="I201" i="1" s="1"/>
  <c r="J201" i="1" s="1"/>
  <c r="K201" i="1" s="1"/>
  <c r="L201" i="1" s="1"/>
  <c r="M201" i="1" s="1"/>
  <c r="E164" i="1"/>
  <c r="F164" i="1" s="1"/>
  <c r="G164" i="1" s="1"/>
  <c r="H164" i="1" s="1"/>
  <c r="I164" i="1" s="1"/>
  <c r="J164" i="1" s="1"/>
  <c r="K164" i="1" s="1"/>
  <c r="L164" i="1" s="1"/>
  <c r="M164" i="1" s="1"/>
  <c r="E118" i="1"/>
  <c r="D165" i="1"/>
  <c r="E165" i="1" s="1"/>
  <c r="F165" i="1" s="1"/>
  <c r="G165" i="1" s="1"/>
  <c r="H165" i="1" s="1"/>
  <c r="I165" i="1" s="1"/>
  <c r="J165" i="1" s="1"/>
  <c r="K165" i="1" s="1"/>
  <c r="L165" i="1" s="1"/>
  <c r="M165" i="1" s="1"/>
  <c r="D120" i="1"/>
  <c r="E120" i="1" s="1"/>
  <c r="F120" i="1" s="1"/>
  <c r="G120" i="1" s="1"/>
  <c r="H120" i="1" s="1"/>
  <c r="I120" i="1" s="1"/>
  <c r="J120" i="1" s="1"/>
  <c r="K120" i="1" s="1"/>
  <c r="L120" i="1" s="1"/>
  <c r="M120" i="1" s="1"/>
  <c r="D125" i="1"/>
  <c r="E125" i="1" s="1"/>
  <c r="C212" i="1"/>
  <c r="C174" i="1"/>
  <c r="D205" i="1" l="1"/>
  <c r="F118" i="1"/>
  <c r="E239" i="1"/>
  <c r="J247" i="1"/>
  <c r="C241" i="1"/>
  <c r="C205" i="1"/>
  <c r="F125" i="1"/>
  <c r="G125" i="1" s="1"/>
  <c r="H125" i="1" s="1"/>
  <c r="I125" i="1" s="1"/>
  <c r="J125" i="1" s="1"/>
  <c r="K125" i="1" s="1"/>
  <c r="L125" i="1" s="1"/>
  <c r="M125" i="1" s="1"/>
  <c r="C225" i="1"/>
  <c r="C224" i="1"/>
  <c r="C221" i="1"/>
  <c r="C217" i="1"/>
  <c r="C215" i="1"/>
  <c r="C209" i="1"/>
  <c r="C210" i="1"/>
  <c r="C211" i="1"/>
  <c r="C187" i="1"/>
  <c r="C186" i="1"/>
  <c r="C172" i="1"/>
  <c r="C173" i="1"/>
  <c r="C171" i="1"/>
  <c r="C150" i="1"/>
  <c r="C149" i="1"/>
  <c r="C146" i="1"/>
  <c r="C142" i="1"/>
  <c r="C140" i="1"/>
  <c r="C132" i="1"/>
  <c r="C133" i="1"/>
  <c r="C134" i="1"/>
  <c r="C135" i="1"/>
  <c r="C131" i="1"/>
  <c r="L68" i="1"/>
  <c r="L67" i="1"/>
  <c r="L66" i="1"/>
  <c r="C175" i="1" l="1"/>
  <c r="G118" i="1"/>
  <c r="M66" i="1"/>
  <c r="M67" i="1"/>
  <c r="M68" i="1"/>
  <c r="F239" i="1"/>
  <c r="K247" i="1"/>
  <c r="C250" i="1"/>
  <c r="C138" i="1"/>
  <c r="C213" i="1"/>
  <c r="D19" i="1"/>
  <c r="E19" i="1" s="1"/>
  <c r="F19" i="1" s="1"/>
  <c r="G19" i="1" s="1"/>
  <c r="H19" i="1" s="1"/>
  <c r="I19" i="1" s="1"/>
  <c r="J19" i="1" s="1"/>
  <c r="K19" i="1" s="1"/>
  <c r="L19" i="1" s="1"/>
  <c r="M19" i="1" s="1"/>
  <c r="C151" i="1"/>
  <c r="D146" i="1"/>
  <c r="F21" i="1"/>
  <c r="G21" i="1" s="1"/>
  <c r="H21" i="1" s="1"/>
  <c r="I21" i="1" s="1"/>
  <c r="J21" i="1" s="1"/>
  <c r="K21" i="1" s="1"/>
  <c r="L21" i="1" s="1"/>
  <c r="M21" i="1" s="1"/>
  <c r="E20" i="1"/>
  <c r="F20" i="1" s="1"/>
  <c r="G20" i="1" s="1"/>
  <c r="H20" i="1" s="1"/>
  <c r="I20" i="1" s="1"/>
  <c r="J20" i="1" s="1"/>
  <c r="K20" i="1" s="1"/>
  <c r="L20" i="1" s="1"/>
  <c r="M20" i="1" s="1"/>
  <c r="E25" i="1"/>
  <c r="F25" i="1"/>
  <c r="F108" i="1" s="1"/>
  <c r="G25" i="1"/>
  <c r="G108" i="1" s="1"/>
  <c r="H25" i="1"/>
  <c r="H108" i="1" s="1"/>
  <c r="I25" i="1"/>
  <c r="I108" i="1" s="1"/>
  <c r="J25" i="1"/>
  <c r="J108" i="1" s="1"/>
  <c r="K25" i="1"/>
  <c r="K108" i="1" s="1"/>
  <c r="L25" i="1"/>
  <c r="L108" i="1" s="1"/>
  <c r="M25" i="1"/>
  <c r="M108" i="1" s="1"/>
  <c r="D25" i="1"/>
  <c r="C47" i="1"/>
  <c r="D134" i="1"/>
  <c r="E108" i="1" l="1"/>
  <c r="E166" i="1"/>
  <c r="F166" i="1" s="1"/>
  <c r="G166" i="1" s="1"/>
  <c r="H166" i="1" s="1"/>
  <c r="I166" i="1" s="1"/>
  <c r="J166" i="1" s="1"/>
  <c r="K166" i="1" s="1"/>
  <c r="L166" i="1" s="1"/>
  <c r="M166" i="1" s="1"/>
  <c r="D177" i="1"/>
  <c r="E177" i="1" s="1"/>
  <c r="F177" i="1" s="1"/>
  <c r="G177" i="1" s="1"/>
  <c r="H177" i="1" s="1"/>
  <c r="I177" i="1" s="1"/>
  <c r="J177" i="1" s="1"/>
  <c r="K177" i="1" s="1"/>
  <c r="L177" i="1" s="1"/>
  <c r="M177" i="1" s="1"/>
  <c r="D245" i="1"/>
  <c r="E245" i="1" s="1"/>
  <c r="D108" i="1"/>
  <c r="E124" i="1"/>
  <c r="F124" i="1" s="1"/>
  <c r="G124" i="1" s="1"/>
  <c r="H124" i="1" s="1"/>
  <c r="I124" i="1" s="1"/>
  <c r="J124" i="1" s="1"/>
  <c r="K124" i="1" s="1"/>
  <c r="L124" i="1" s="1"/>
  <c r="M124" i="1" s="1"/>
  <c r="D123" i="1"/>
  <c r="D56" i="1"/>
  <c r="H118" i="1"/>
  <c r="G239" i="1"/>
  <c r="L247" i="1"/>
  <c r="D167" i="1"/>
  <c r="C167" i="1"/>
  <c r="E167" i="1"/>
  <c r="D58" i="1"/>
  <c r="D215" i="1" s="1"/>
  <c r="D61" i="1"/>
  <c r="D142" i="1" s="1"/>
  <c r="C189" i="1"/>
  <c r="C188" i="1"/>
  <c r="C152" i="1"/>
  <c r="C153" i="1" s="1"/>
  <c r="C155" i="1" s="1"/>
  <c r="E83" i="1"/>
  <c r="E183" i="1" s="1"/>
  <c r="E84" i="1"/>
  <c r="D221" i="1"/>
  <c r="C226" i="1"/>
  <c r="E82" i="1"/>
  <c r="D63" i="1"/>
  <c r="D217" i="1" s="1"/>
  <c r="D57" i="1"/>
  <c r="E57" i="1" s="1"/>
  <c r="F57" i="1" s="1"/>
  <c r="G57" i="1" s="1"/>
  <c r="H57" i="1" s="1"/>
  <c r="I57" i="1" s="1"/>
  <c r="J57" i="1" s="1"/>
  <c r="K57" i="1" s="1"/>
  <c r="L57" i="1" s="1"/>
  <c r="M57" i="1" s="1"/>
  <c r="D62" i="1"/>
  <c r="D179" i="1" s="1"/>
  <c r="D44" i="1"/>
  <c r="D210" i="1" s="1"/>
  <c r="D45" i="1"/>
  <c r="D43" i="1"/>
  <c r="D41" i="1"/>
  <c r="D40" i="1"/>
  <c r="D39" i="1"/>
  <c r="D36" i="1"/>
  <c r="D135" i="1" s="1"/>
  <c r="E35" i="1"/>
  <c r="D34" i="1"/>
  <c r="D37" i="1"/>
  <c r="D32" i="1"/>
  <c r="D131" i="1" s="1"/>
  <c r="F167" i="1" l="1"/>
  <c r="I118" i="1"/>
  <c r="D248" i="1"/>
  <c r="D251" i="1" s="1"/>
  <c r="M247" i="1"/>
  <c r="D97" i="1"/>
  <c r="E97" i="1" s="1"/>
  <c r="F97" i="1" s="1"/>
  <c r="G97" i="1" s="1"/>
  <c r="H97" i="1" s="1"/>
  <c r="I97" i="1" s="1"/>
  <c r="J97" i="1" s="1"/>
  <c r="K97" i="1" s="1"/>
  <c r="L97" i="1" s="1"/>
  <c r="M97" i="1" s="1"/>
  <c r="D99" i="1"/>
  <c r="E99" i="1" s="1"/>
  <c r="F99" i="1" s="1"/>
  <c r="G99" i="1" s="1"/>
  <c r="H99" i="1" s="1"/>
  <c r="I99" i="1" s="1"/>
  <c r="J99" i="1" s="1"/>
  <c r="K99" i="1" s="1"/>
  <c r="L99" i="1" s="1"/>
  <c r="M99" i="1" s="1"/>
  <c r="D98" i="1"/>
  <c r="E98" i="1" s="1"/>
  <c r="F98" i="1" s="1"/>
  <c r="G98" i="1" s="1"/>
  <c r="H98" i="1" s="1"/>
  <c r="I98" i="1" s="1"/>
  <c r="J98" i="1" s="1"/>
  <c r="K98" i="1" s="1"/>
  <c r="L98" i="1" s="1"/>
  <c r="M98" i="1" s="1"/>
  <c r="E58" i="1"/>
  <c r="F58" i="1" s="1"/>
  <c r="H239" i="1"/>
  <c r="D88" i="1"/>
  <c r="E88" i="1" s="1"/>
  <c r="E123" i="1"/>
  <c r="G167" i="1"/>
  <c r="D87" i="1"/>
  <c r="E87" i="1" s="1"/>
  <c r="C190" i="1"/>
  <c r="C192" i="1" s="1"/>
  <c r="C194" i="1" s="1"/>
  <c r="E119" i="1"/>
  <c r="D127" i="1"/>
  <c r="D89" i="1"/>
  <c r="C227" i="1"/>
  <c r="C228" i="1" s="1"/>
  <c r="F84" i="1"/>
  <c r="E221" i="1"/>
  <c r="E36" i="1"/>
  <c r="F36" i="1" s="1"/>
  <c r="E39" i="1"/>
  <c r="D171" i="1"/>
  <c r="E41" i="1"/>
  <c r="D173" i="1"/>
  <c r="F83" i="1"/>
  <c r="F183" i="1" s="1"/>
  <c r="E40" i="1"/>
  <c r="D172" i="1"/>
  <c r="E43" i="1"/>
  <c r="D209" i="1"/>
  <c r="E45" i="1"/>
  <c r="D211" i="1"/>
  <c r="E62" i="1"/>
  <c r="E179" i="1" s="1"/>
  <c r="F35" i="1"/>
  <c r="E134" i="1"/>
  <c r="E63" i="1"/>
  <c r="E217" i="1" s="1"/>
  <c r="E61" i="1"/>
  <c r="E33" i="1"/>
  <c r="D132" i="1"/>
  <c r="F82" i="1"/>
  <c r="E146" i="1"/>
  <c r="E37" i="1"/>
  <c r="D136" i="1"/>
  <c r="E56" i="1"/>
  <c r="D140" i="1"/>
  <c r="E34" i="1"/>
  <c r="D133" i="1"/>
  <c r="E44" i="1"/>
  <c r="E210" i="1" s="1"/>
  <c r="D47" i="1"/>
  <c r="D48" i="1" s="1"/>
  <c r="E32" i="1"/>
  <c r="E131" i="1" s="1"/>
  <c r="C230" i="1" l="1"/>
  <c r="C232" i="1" s="1"/>
  <c r="J118" i="1"/>
  <c r="D186" i="1"/>
  <c r="D224" i="1"/>
  <c r="D149" i="1"/>
  <c r="F245" i="1"/>
  <c r="E248" i="1"/>
  <c r="E251" i="1" s="1"/>
  <c r="E215" i="1"/>
  <c r="I239" i="1"/>
  <c r="F123" i="1"/>
  <c r="G123" i="1" s="1"/>
  <c r="H123" i="1" s="1"/>
  <c r="I123" i="1" s="1"/>
  <c r="J123" i="1" s="1"/>
  <c r="K123" i="1" s="1"/>
  <c r="L123" i="1" s="1"/>
  <c r="M123" i="1" s="1"/>
  <c r="D189" i="1"/>
  <c r="D152" i="1"/>
  <c r="H167" i="1"/>
  <c r="F119" i="1"/>
  <c r="E127" i="1"/>
  <c r="F40" i="1"/>
  <c r="E172" i="1"/>
  <c r="F215" i="1"/>
  <c r="G58" i="1"/>
  <c r="F39" i="1"/>
  <c r="E171" i="1"/>
  <c r="E135" i="1"/>
  <c r="E186" i="1"/>
  <c r="G83" i="1"/>
  <c r="G183" i="1" s="1"/>
  <c r="G84" i="1"/>
  <c r="F221" i="1"/>
  <c r="E224" i="1"/>
  <c r="F43" i="1"/>
  <c r="E209" i="1"/>
  <c r="E89" i="1"/>
  <c r="D227" i="1"/>
  <c r="F41" i="1"/>
  <c r="E173" i="1"/>
  <c r="F45" i="1"/>
  <c r="E211" i="1"/>
  <c r="F88" i="1"/>
  <c r="E189" i="1"/>
  <c r="F63" i="1"/>
  <c r="F217" i="1" s="1"/>
  <c r="G35" i="1"/>
  <c r="F134" i="1"/>
  <c r="F56" i="1"/>
  <c r="E140" i="1"/>
  <c r="F37" i="1"/>
  <c r="E136" i="1"/>
  <c r="F34" i="1"/>
  <c r="E133" i="1"/>
  <c r="G36" i="1"/>
  <c r="F135" i="1"/>
  <c r="F61" i="1"/>
  <c r="E142" i="1"/>
  <c r="G82" i="1"/>
  <c r="F146" i="1"/>
  <c r="F62" i="1"/>
  <c r="F179" i="1" s="1"/>
  <c r="F33" i="1"/>
  <c r="E132" i="1"/>
  <c r="F87" i="1"/>
  <c r="E152" i="1"/>
  <c r="E149" i="1"/>
  <c r="F44" i="1"/>
  <c r="F210" i="1" s="1"/>
  <c r="E47" i="1"/>
  <c r="E48" i="1" s="1"/>
  <c r="F32" i="1"/>
  <c r="F131" i="1" s="1"/>
  <c r="D53" i="1"/>
  <c r="D212" i="1" s="1"/>
  <c r="D213" i="1" s="1"/>
  <c r="D52" i="1"/>
  <c r="D174" i="1" s="1"/>
  <c r="D175" i="1" s="1"/>
  <c r="D51" i="1"/>
  <c r="K118" i="1" l="1"/>
  <c r="D137" i="1"/>
  <c r="D92" i="1"/>
  <c r="G245" i="1"/>
  <c r="F248" i="1"/>
  <c r="F251" i="1" s="1"/>
  <c r="J239" i="1"/>
  <c r="E205" i="1"/>
  <c r="I167" i="1"/>
  <c r="G119" i="1"/>
  <c r="F127" i="1"/>
  <c r="G43" i="1"/>
  <c r="F209" i="1"/>
  <c r="G39" i="1"/>
  <c r="F171" i="1"/>
  <c r="G45" i="1"/>
  <c r="F211" i="1"/>
  <c r="H58" i="1"/>
  <c r="G215" i="1"/>
  <c r="H83" i="1"/>
  <c r="H183" i="1" s="1"/>
  <c r="F186" i="1"/>
  <c r="F224" i="1"/>
  <c r="G41" i="1"/>
  <c r="F173" i="1"/>
  <c r="F89" i="1"/>
  <c r="E227" i="1"/>
  <c r="G88" i="1"/>
  <c r="F189" i="1"/>
  <c r="H84" i="1"/>
  <c r="G221" i="1"/>
  <c r="G40" i="1"/>
  <c r="F172" i="1"/>
  <c r="G62" i="1"/>
  <c r="G179" i="1" s="1"/>
  <c r="G34" i="1"/>
  <c r="F133" i="1"/>
  <c r="G56" i="1"/>
  <c r="F140" i="1"/>
  <c r="H35" i="1"/>
  <c r="G134" i="1"/>
  <c r="G61" i="1"/>
  <c r="F142" i="1"/>
  <c r="F149" i="1"/>
  <c r="G63" i="1"/>
  <c r="G217" i="1" s="1"/>
  <c r="G33" i="1"/>
  <c r="F132" i="1"/>
  <c r="G37" i="1"/>
  <c r="F136" i="1"/>
  <c r="H82" i="1"/>
  <c r="G146" i="1"/>
  <c r="G87" i="1"/>
  <c r="F152" i="1"/>
  <c r="H36" i="1"/>
  <c r="G135" i="1"/>
  <c r="D138" i="1"/>
  <c r="G44" i="1"/>
  <c r="G210" i="1" s="1"/>
  <c r="D150" i="1"/>
  <c r="D102" i="1"/>
  <c r="D151" i="1" s="1"/>
  <c r="D93" i="1"/>
  <c r="D187" i="1" s="1"/>
  <c r="D103" i="1"/>
  <c r="D188" i="1" s="1"/>
  <c r="D104" i="1"/>
  <c r="D226" i="1" s="1"/>
  <c r="D94" i="1"/>
  <c r="D225" i="1" s="1"/>
  <c r="F47" i="1"/>
  <c r="F48" i="1" s="1"/>
  <c r="G32" i="1"/>
  <c r="G131" i="1" s="1"/>
  <c r="E51" i="1"/>
  <c r="E137" i="1" s="1"/>
  <c r="E52" i="1"/>
  <c r="E174" i="1" s="1"/>
  <c r="E175" i="1" s="1"/>
  <c r="E53" i="1"/>
  <c r="E212" i="1" s="1"/>
  <c r="E213" i="1" s="1"/>
  <c r="L118" i="1" l="1"/>
  <c r="H245" i="1"/>
  <c r="G248" i="1"/>
  <c r="G251" i="1" s="1"/>
  <c r="K239" i="1"/>
  <c r="D241" i="1"/>
  <c r="D250" i="1" s="1"/>
  <c r="D228" i="1"/>
  <c r="D230" i="1" s="1"/>
  <c r="F205" i="1"/>
  <c r="J167" i="1"/>
  <c r="H119" i="1"/>
  <c r="G127" i="1"/>
  <c r="D190" i="1"/>
  <c r="D192" i="1" s="1"/>
  <c r="I83" i="1"/>
  <c r="I183" i="1" s="1"/>
  <c r="I58" i="1"/>
  <c r="H215" i="1"/>
  <c r="G89" i="1"/>
  <c r="F227" i="1"/>
  <c r="H88" i="1"/>
  <c r="G189" i="1"/>
  <c r="H45" i="1"/>
  <c r="G211" i="1"/>
  <c r="G224" i="1"/>
  <c r="H39" i="1"/>
  <c r="G171" i="1"/>
  <c r="I84" i="1"/>
  <c r="H221" i="1"/>
  <c r="H41" i="1"/>
  <c r="G173" i="1"/>
  <c r="H40" i="1"/>
  <c r="G172" i="1"/>
  <c r="G186" i="1"/>
  <c r="H43" i="1"/>
  <c r="G209" i="1"/>
  <c r="I82" i="1"/>
  <c r="H146" i="1"/>
  <c r="D153" i="1"/>
  <c r="D155" i="1" s="1"/>
  <c r="D158" i="1" s="1"/>
  <c r="H63" i="1"/>
  <c r="H217" i="1" s="1"/>
  <c r="H56" i="1"/>
  <c r="G140" i="1"/>
  <c r="H37" i="1"/>
  <c r="G136" i="1"/>
  <c r="I35" i="1"/>
  <c r="H134" i="1"/>
  <c r="H33" i="1"/>
  <c r="G132" i="1"/>
  <c r="E138" i="1"/>
  <c r="I36" i="1"/>
  <c r="H135" i="1"/>
  <c r="G149" i="1"/>
  <c r="H34" i="1"/>
  <c r="G133" i="1"/>
  <c r="H61" i="1"/>
  <c r="G142" i="1"/>
  <c r="H87" i="1"/>
  <c r="G152" i="1"/>
  <c r="H62" i="1"/>
  <c r="H179" i="1" s="1"/>
  <c r="E102" i="1"/>
  <c r="E151" i="1" s="1"/>
  <c r="E92" i="1"/>
  <c r="E150" i="1" s="1"/>
  <c r="E93" i="1"/>
  <c r="E187" i="1" s="1"/>
  <c r="E103" i="1"/>
  <c r="E188" i="1" s="1"/>
  <c r="H44" i="1"/>
  <c r="H210" i="1" s="1"/>
  <c r="E94" i="1"/>
  <c r="E225" i="1" s="1"/>
  <c r="E104" i="1"/>
  <c r="E226" i="1" s="1"/>
  <c r="F52" i="1"/>
  <c r="F174" i="1" s="1"/>
  <c r="F175" i="1" s="1"/>
  <c r="G47" i="1"/>
  <c r="G48" i="1" s="1"/>
  <c r="H32" i="1"/>
  <c r="H131" i="1" s="1"/>
  <c r="F53" i="1"/>
  <c r="F212" i="1" s="1"/>
  <c r="F213" i="1" s="1"/>
  <c r="F51" i="1"/>
  <c r="F137" i="1" s="1"/>
  <c r="M118" i="1" l="1"/>
  <c r="I245" i="1"/>
  <c r="H248" i="1"/>
  <c r="H251" i="1" s="1"/>
  <c r="L239" i="1"/>
  <c r="E241" i="1"/>
  <c r="E250" i="1" s="1"/>
  <c r="D232" i="1"/>
  <c r="D233" i="1"/>
  <c r="D157" i="1"/>
  <c r="D194" i="1"/>
  <c r="D195" i="1"/>
  <c r="G205" i="1"/>
  <c r="K167" i="1"/>
  <c r="E153" i="1"/>
  <c r="E155" i="1" s="1"/>
  <c r="I119" i="1"/>
  <c r="H127" i="1"/>
  <c r="E190" i="1"/>
  <c r="E192" i="1" s="1"/>
  <c r="E228" i="1"/>
  <c r="E230" i="1" s="1"/>
  <c r="H224" i="1"/>
  <c r="H186" i="1"/>
  <c r="I88" i="1"/>
  <c r="H189" i="1"/>
  <c r="I45" i="1"/>
  <c r="H211" i="1"/>
  <c r="H89" i="1"/>
  <c r="G227" i="1"/>
  <c r="J58" i="1"/>
  <c r="I215" i="1"/>
  <c r="I40" i="1"/>
  <c r="H172" i="1"/>
  <c r="I41" i="1"/>
  <c r="H173" i="1"/>
  <c r="J84" i="1"/>
  <c r="I221" i="1"/>
  <c r="I39" i="1"/>
  <c r="H171" i="1"/>
  <c r="I43" i="1"/>
  <c r="H209" i="1"/>
  <c r="J83" i="1"/>
  <c r="J183" i="1" s="1"/>
  <c r="I34" i="1"/>
  <c r="H133" i="1"/>
  <c r="H149" i="1"/>
  <c r="I56" i="1"/>
  <c r="H140" i="1"/>
  <c r="J35" i="1"/>
  <c r="I134" i="1"/>
  <c r="I37" i="1"/>
  <c r="H136" i="1"/>
  <c r="J36" i="1"/>
  <c r="I135" i="1"/>
  <c r="I63" i="1"/>
  <c r="I217" i="1" s="1"/>
  <c r="F138" i="1"/>
  <c r="I61" i="1"/>
  <c r="H142" i="1"/>
  <c r="I62" i="1"/>
  <c r="I179" i="1" s="1"/>
  <c r="I87" i="1"/>
  <c r="H152" i="1"/>
  <c r="I33" i="1"/>
  <c r="H132" i="1"/>
  <c r="J82" i="1"/>
  <c r="I146" i="1"/>
  <c r="F103" i="1"/>
  <c r="F188" i="1" s="1"/>
  <c r="F93" i="1"/>
  <c r="F187" i="1" s="1"/>
  <c r="F94" i="1"/>
  <c r="F225" i="1" s="1"/>
  <c r="F104" i="1"/>
  <c r="F226" i="1" s="1"/>
  <c r="I44" i="1"/>
  <c r="I210" i="1" s="1"/>
  <c r="F102" i="1"/>
  <c r="F151" i="1" s="1"/>
  <c r="F92" i="1"/>
  <c r="F150" i="1" s="1"/>
  <c r="G52" i="1"/>
  <c r="G174" i="1" s="1"/>
  <c r="G175" i="1" s="1"/>
  <c r="G51" i="1"/>
  <c r="G137" i="1" s="1"/>
  <c r="G53" i="1"/>
  <c r="G212" i="1" s="1"/>
  <c r="G213" i="1" s="1"/>
  <c r="I32" i="1"/>
  <c r="I131" i="1" s="1"/>
  <c r="H47" i="1"/>
  <c r="H48" i="1" s="1"/>
  <c r="E158" i="1" l="1"/>
  <c r="E157" i="1"/>
  <c r="J245" i="1"/>
  <c r="I248" i="1"/>
  <c r="I251" i="1" s="1"/>
  <c r="M239" i="1"/>
  <c r="F241" i="1"/>
  <c r="F250" i="1" s="1"/>
  <c r="E194" i="1"/>
  <c r="E195" i="1"/>
  <c r="E232" i="1"/>
  <c r="E233" i="1"/>
  <c r="H205" i="1"/>
  <c r="L167" i="1"/>
  <c r="M167" i="1"/>
  <c r="J119" i="1"/>
  <c r="I127" i="1"/>
  <c r="F190" i="1"/>
  <c r="F192" i="1" s="1"/>
  <c r="F153" i="1"/>
  <c r="F155" i="1" s="1"/>
  <c r="F158" i="1" s="1"/>
  <c r="I89" i="1"/>
  <c r="H227" i="1"/>
  <c r="J43" i="1"/>
  <c r="I209" i="1"/>
  <c r="J45" i="1"/>
  <c r="I211" i="1"/>
  <c r="J39" i="1"/>
  <c r="I171" i="1"/>
  <c r="J88" i="1"/>
  <c r="I189" i="1"/>
  <c r="F228" i="1"/>
  <c r="F230" i="1" s="1"/>
  <c r="K84" i="1"/>
  <c r="J221" i="1"/>
  <c r="I186" i="1"/>
  <c r="K58" i="1"/>
  <c r="J215" i="1"/>
  <c r="J41" i="1"/>
  <c r="I173" i="1"/>
  <c r="K83" i="1"/>
  <c r="K183" i="1" s="1"/>
  <c r="J40" i="1"/>
  <c r="I172" i="1"/>
  <c r="I224" i="1"/>
  <c r="J37" i="1"/>
  <c r="I136" i="1"/>
  <c r="K82" i="1"/>
  <c r="J146" i="1"/>
  <c r="J61" i="1"/>
  <c r="I142" i="1"/>
  <c r="J87" i="1"/>
  <c r="I152" i="1"/>
  <c r="J62" i="1"/>
  <c r="J179" i="1" s="1"/>
  <c r="J56" i="1"/>
  <c r="I140" i="1"/>
  <c r="G138" i="1"/>
  <c r="I149" i="1"/>
  <c r="K36" i="1"/>
  <c r="J135" i="1"/>
  <c r="K35" i="1"/>
  <c r="J134" i="1"/>
  <c r="J33" i="1"/>
  <c r="I132" i="1"/>
  <c r="J63" i="1"/>
  <c r="J217" i="1" s="1"/>
  <c r="J34" i="1"/>
  <c r="I133" i="1"/>
  <c r="G94" i="1"/>
  <c r="G225" i="1" s="1"/>
  <c r="G104" i="1"/>
  <c r="G226" i="1" s="1"/>
  <c r="G103" i="1"/>
  <c r="G188" i="1" s="1"/>
  <c r="G93" i="1"/>
  <c r="G187" i="1" s="1"/>
  <c r="J44" i="1"/>
  <c r="J210" i="1" s="1"/>
  <c r="G102" i="1"/>
  <c r="G151" i="1" s="1"/>
  <c r="G92" i="1"/>
  <c r="G150" i="1" s="1"/>
  <c r="H51" i="1"/>
  <c r="H137" i="1" s="1"/>
  <c r="H52" i="1"/>
  <c r="H174" i="1" s="1"/>
  <c r="H175" i="1" s="1"/>
  <c r="J32" i="1"/>
  <c r="J131" i="1" s="1"/>
  <c r="I47" i="1"/>
  <c r="I48" i="1" s="1"/>
  <c r="H53" i="1"/>
  <c r="H212" i="1" s="1"/>
  <c r="H213" i="1" s="1"/>
  <c r="K245" i="1" l="1"/>
  <c r="J248" i="1"/>
  <c r="J251" i="1" s="1"/>
  <c r="G241" i="1"/>
  <c r="G250" i="1" s="1"/>
  <c r="F157" i="1"/>
  <c r="F194" i="1"/>
  <c r="F195" i="1"/>
  <c r="F232" i="1"/>
  <c r="F233" i="1"/>
  <c r="I205" i="1"/>
  <c r="K119" i="1"/>
  <c r="J127" i="1"/>
  <c r="G153" i="1"/>
  <c r="G155" i="1" s="1"/>
  <c r="G158" i="1" s="1"/>
  <c r="G190" i="1"/>
  <c r="G192" i="1" s="1"/>
  <c r="K40" i="1"/>
  <c r="J172" i="1"/>
  <c r="K88" i="1"/>
  <c r="J189" i="1"/>
  <c r="L83" i="1"/>
  <c r="L183" i="1" s="1"/>
  <c r="L58" i="1"/>
  <c r="K215" i="1"/>
  <c r="K45" i="1"/>
  <c r="J211" i="1"/>
  <c r="K41" i="1"/>
  <c r="J173" i="1"/>
  <c r="J186" i="1"/>
  <c r="K43" i="1"/>
  <c r="J209" i="1"/>
  <c r="K39" i="1"/>
  <c r="J171" i="1"/>
  <c r="I51" i="1"/>
  <c r="I137" i="1" s="1"/>
  <c r="I138" i="1" s="1"/>
  <c r="G228" i="1"/>
  <c r="G230" i="1" s="1"/>
  <c r="J224" i="1"/>
  <c r="L84" i="1"/>
  <c r="K221" i="1"/>
  <c r="J89" i="1"/>
  <c r="I227" i="1"/>
  <c r="K62" i="1"/>
  <c r="K179" i="1" s="1"/>
  <c r="K87" i="1"/>
  <c r="J152" i="1"/>
  <c r="L36" i="1"/>
  <c r="K135" i="1"/>
  <c r="J149" i="1"/>
  <c r="K34" i="1"/>
  <c r="J133" i="1"/>
  <c r="K61" i="1"/>
  <c r="J142" i="1"/>
  <c r="K63" i="1"/>
  <c r="K217" i="1" s="1"/>
  <c r="L82" i="1"/>
  <c r="K146" i="1"/>
  <c r="K33" i="1"/>
  <c r="J132" i="1"/>
  <c r="K56" i="1"/>
  <c r="J140" i="1"/>
  <c r="H138" i="1"/>
  <c r="L35" i="1"/>
  <c r="K134" i="1"/>
  <c r="K37" i="1"/>
  <c r="J136" i="1"/>
  <c r="H93" i="1"/>
  <c r="H187" i="1" s="1"/>
  <c r="H103" i="1"/>
  <c r="H188" i="1" s="1"/>
  <c r="H102" i="1"/>
  <c r="H151" i="1" s="1"/>
  <c r="H92" i="1"/>
  <c r="H150" i="1" s="1"/>
  <c r="K44" i="1"/>
  <c r="K210" i="1" s="1"/>
  <c r="H104" i="1"/>
  <c r="H226" i="1" s="1"/>
  <c r="H94" i="1"/>
  <c r="H225" i="1" s="1"/>
  <c r="I53" i="1"/>
  <c r="I212" i="1" s="1"/>
  <c r="I213" i="1" s="1"/>
  <c r="I52" i="1"/>
  <c r="I174" i="1" s="1"/>
  <c r="I175" i="1" s="1"/>
  <c r="K32" i="1"/>
  <c r="K131" i="1" s="1"/>
  <c r="J47" i="1"/>
  <c r="J48" i="1" s="1"/>
  <c r="L245" i="1" l="1"/>
  <c r="K248" i="1"/>
  <c r="K251" i="1" s="1"/>
  <c r="H241" i="1"/>
  <c r="H250" i="1" s="1"/>
  <c r="G232" i="1"/>
  <c r="G233" i="1"/>
  <c r="G194" i="1"/>
  <c r="G195" i="1"/>
  <c r="G157" i="1"/>
  <c r="J205" i="1"/>
  <c r="H228" i="1"/>
  <c r="H230" i="1" s="1"/>
  <c r="L119" i="1"/>
  <c r="K127" i="1"/>
  <c r="I92" i="1"/>
  <c r="I150" i="1" s="1"/>
  <c r="J51" i="1"/>
  <c r="J137" i="1" s="1"/>
  <c r="J138" i="1" s="1"/>
  <c r="I102" i="1"/>
  <c r="I151" i="1" s="1"/>
  <c r="L41" i="1"/>
  <c r="K173" i="1"/>
  <c r="M58" i="1"/>
  <c r="M215" i="1" s="1"/>
  <c r="L215" i="1"/>
  <c r="H190" i="1"/>
  <c r="H192" i="1" s="1"/>
  <c r="L43" i="1"/>
  <c r="K209" i="1"/>
  <c r="M83" i="1"/>
  <c r="M183" i="1" s="1"/>
  <c r="L39" i="1"/>
  <c r="K171" i="1"/>
  <c r="K89" i="1"/>
  <c r="J227" i="1"/>
  <c r="K186" i="1"/>
  <c r="L88" i="1"/>
  <c r="K189" i="1"/>
  <c r="K224" i="1"/>
  <c r="L45" i="1"/>
  <c r="K211" i="1"/>
  <c r="M84" i="1"/>
  <c r="M221" i="1" s="1"/>
  <c r="L221" i="1"/>
  <c r="L40" i="1"/>
  <c r="K172" i="1"/>
  <c r="L34" i="1"/>
  <c r="K133" i="1"/>
  <c r="L56" i="1"/>
  <c r="K140" i="1"/>
  <c r="M82" i="1"/>
  <c r="M146" i="1" s="1"/>
  <c r="L146" i="1"/>
  <c r="K149" i="1"/>
  <c r="M36" i="1"/>
  <c r="M135" i="1" s="1"/>
  <c r="L135" i="1"/>
  <c r="L33" i="1"/>
  <c r="K132" i="1"/>
  <c r="L87" i="1"/>
  <c r="K152" i="1"/>
  <c r="L37" i="1"/>
  <c r="K136" i="1"/>
  <c r="L63" i="1"/>
  <c r="L217" i="1" s="1"/>
  <c r="M35" i="1"/>
  <c r="M134" i="1" s="1"/>
  <c r="L134" i="1"/>
  <c r="H153" i="1"/>
  <c r="H155" i="1" s="1"/>
  <c r="H158" i="1" s="1"/>
  <c r="L61" i="1"/>
  <c r="K142" i="1"/>
  <c r="L62" i="1"/>
  <c r="L179" i="1" s="1"/>
  <c r="I104" i="1"/>
  <c r="I226" i="1" s="1"/>
  <c r="I94" i="1"/>
  <c r="I225" i="1" s="1"/>
  <c r="L44" i="1"/>
  <c r="L210" i="1" s="1"/>
  <c r="I93" i="1"/>
  <c r="I187" i="1" s="1"/>
  <c r="I103" i="1"/>
  <c r="I188" i="1" s="1"/>
  <c r="J53" i="1"/>
  <c r="J212" i="1" s="1"/>
  <c r="J213" i="1" s="1"/>
  <c r="J52" i="1"/>
  <c r="J174" i="1" s="1"/>
  <c r="J175" i="1" s="1"/>
  <c r="L32" i="1"/>
  <c r="L131" i="1" s="1"/>
  <c r="K47" i="1"/>
  <c r="K48" i="1" s="1"/>
  <c r="M245" i="1" l="1"/>
  <c r="M248" i="1" s="1"/>
  <c r="M251" i="1" s="1"/>
  <c r="L248" i="1"/>
  <c r="L251" i="1" s="1"/>
  <c r="I241" i="1"/>
  <c r="I250" i="1" s="1"/>
  <c r="H232" i="1"/>
  <c r="H233" i="1"/>
  <c r="H194" i="1"/>
  <c r="H195" i="1"/>
  <c r="H157" i="1"/>
  <c r="K205" i="1"/>
  <c r="M119" i="1"/>
  <c r="M127" i="1" s="1"/>
  <c r="L127" i="1"/>
  <c r="I228" i="1"/>
  <c r="I230" i="1" s="1"/>
  <c r="I153" i="1"/>
  <c r="I155" i="1" s="1"/>
  <c r="I158" i="1" s="1"/>
  <c r="J92" i="1"/>
  <c r="J150" i="1" s="1"/>
  <c r="K51" i="1"/>
  <c r="K137" i="1" s="1"/>
  <c r="K138" i="1" s="1"/>
  <c r="J102" i="1"/>
  <c r="J151" i="1" s="1"/>
  <c r="M40" i="1"/>
  <c r="M172" i="1" s="1"/>
  <c r="L172" i="1"/>
  <c r="M88" i="1"/>
  <c r="M189" i="1" s="1"/>
  <c r="L189" i="1"/>
  <c r="L89" i="1"/>
  <c r="K227" i="1"/>
  <c r="M41" i="1"/>
  <c r="M173" i="1" s="1"/>
  <c r="L173" i="1"/>
  <c r="I190" i="1"/>
  <c r="I192" i="1" s="1"/>
  <c r="M45" i="1"/>
  <c r="M211" i="1" s="1"/>
  <c r="L211" i="1"/>
  <c r="M224" i="1"/>
  <c r="L224" i="1"/>
  <c r="M43" i="1"/>
  <c r="M209" i="1" s="1"/>
  <c r="L209" i="1"/>
  <c r="M186" i="1"/>
  <c r="L186" i="1"/>
  <c r="M39" i="1"/>
  <c r="M171" i="1" s="1"/>
  <c r="L171" i="1"/>
  <c r="M63" i="1"/>
  <c r="M217" i="1" s="1"/>
  <c r="M149" i="1"/>
  <c r="L149" i="1"/>
  <c r="M33" i="1"/>
  <c r="M132" i="1" s="1"/>
  <c r="L132" i="1"/>
  <c r="M56" i="1"/>
  <c r="M140" i="1" s="1"/>
  <c r="L140" i="1"/>
  <c r="M62" i="1"/>
  <c r="M179" i="1" s="1"/>
  <c r="M37" i="1"/>
  <c r="M136" i="1" s="1"/>
  <c r="L136" i="1"/>
  <c r="M61" i="1"/>
  <c r="L142" i="1"/>
  <c r="M87" i="1"/>
  <c r="M152" i="1" s="1"/>
  <c r="L152" i="1"/>
  <c r="M34" i="1"/>
  <c r="M133" i="1" s="1"/>
  <c r="L133" i="1"/>
  <c r="J94" i="1"/>
  <c r="J225" i="1" s="1"/>
  <c r="J104" i="1"/>
  <c r="J226" i="1" s="1"/>
  <c r="M44" i="1"/>
  <c r="M210" i="1" s="1"/>
  <c r="J93" i="1"/>
  <c r="J187" i="1" s="1"/>
  <c r="J103" i="1"/>
  <c r="J188" i="1" s="1"/>
  <c r="K52" i="1"/>
  <c r="K174" i="1" s="1"/>
  <c r="K175" i="1" s="1"/>
  <c r="K53" i="1"/>
  <c r="K212" i="1" s="1"/>
  <c r="K213" i="1" s="1"/>
  <c r="M32" i="1"/>
  <c r="L47" i="1"/>
  <c r="L48" i="1" s="1"/>
  <c r="J241" i="1" l="1"/>
  <c r="J250" i="1" s="1"/>
  <c r="I194" i="1"/>
  <c r="I195" i="1"/>
  <c r="I157" i="1"/>
  <c r="I232" i="1"/>
  <c r="I233" i="1"/>
  <c r="M205" i="1"/>
  <c r="L205" i="1"/>
  <c r="K102" i="1"/>
  <c r="K151" i="1" s="1"/>
  <c r="J228" i="1"/>
  <c r="J230" i="1" s="1"/>
  <c r="K92" i="1"/>
  <c r="K150" i="1" s="1"/>
  <c r="L51" i="1"/>
  <c r="L137" i="1" s="1"/>
  <c r="L138" i="1" s="1"/>
  <c r="J153" i="1"/>
  <c r="J155" i="1" s="1"/>
  <c r="J158" i="1" s="1"/>
  <c r="M89" i="1"/>
  <c r="M227" i="1" s="1"/>
  <c r="L227" i="1"/>
  <c r="J190" i="1"/>
  <c r="J192" i="1" s="1"/>
  <c r="M142" i="1"/>
  <c r="M47" i="1"/>
  <c r="M48" i="1" s="1"/>
  <c r="M131" i="1"/>
  <c r="K104" i="1"/>
  <c r="K226" i="1" s="1"/>
  <c r="K94" i="1"/>
  <c r="K225" i="1" s="1"/>
  <c r="K93" i="1"/>
  <c r="K187" i="1" s="1"/>
  <c r="K103" i="1"/>
  <c r="K188" i="1" s="1"/>
  <c r="L53" i="1"/>
  <c r="L212" i="1" s="1"/>
  <c r="L213" i="1" s="1"/>
  <c r="L52" i="1"/>
  <c r="L174" i="1" s="1"/>
  <c r="L175" i="1" s="1"/>
  <c r="K241" i="1" l="1"/>
  <c r="K250" i="1" s="1"/>
  <c r="J157" i="1"/>
  <c r="J194" i="1"/>
  <c r="J195" i="1"/>
  <c r="J232" i="1"/>
  <c r="J233" i="1"/>
  <c r="K153" i="1"/>
  <c r="K155" i="1" s="1"/>
  <c r="K158" i="1" s="1"/>
  <c r="M51" i="1"/>
  <c r="M137" i="1" s="1"/>
  <c r="M138" i="1" s="1"/>
  <c r="L102" i="1"/>
  <c r="L151" i="1" s="1"/>
  <c r="L92" i="1"/>
  <c r="L150" i="1" s="1"/>
  <c r="K228" i="1"/>
  <c r="K230" i="1" s="1"/>
  <c r="K190" i="1"/>
  <c r="K192" i="1" s="1"/>
  <c r="M53" i="1"/>
  <c r="M212" i="1" s="1"/>
  <c r="M213" i="1" s="1"/>
  <c r="L94" i="1"/>
  <c r="L225" i="1" s="1"/>
  <c r="L104" i="1"/>
  <c r="L226" i="1" s="1"/>
  <c r="M52" i="1"/>
  <c r="M174" i="1" s="1"/>
  <c r="M175" i="1" s="1"/>
  <c r="L93" i="1"/>
  <c r="L187" i="1" s="1"/>
  <c r="L103" i="1"/>
  <c r="L188" i="1" s="1"/>
  <c r="L241" i="1" l="1"/>
  <c r="L250" i="1" s="1"/>
  <c r="K232" i="1"/>
  <c r="K233" i="1"/>
  <c r="K157" i="1"/>
  <c r="M102" i="1"/>
  <c r="M151" i="1" s="1"/>
  <c r="M241" i="1" s="1"/>
  <c r="M250" i="1" s="1"/>
  <c r="K194" i="1"/>
  <c r="K195" i="1"/>
  <c r="L153" i="1"/>
  <c r="L155" i="1" s="1"/>
  <c r="L158" i="1" s="1"/>
  <c r="M92" i="1"/>
  <c r="M150" i="1" s="1"/>
  <c r="L190" i="1"/>
  <c r="L192" i="1" s="1"/>
  <c r="L228" i="1"/>
  <c r="L230" i="1" s="1"/>
  <c r="M93" i="1"/>
  <c r="M187" i="1" s="1"/>
  <c r="M103" i="1"/>
  <c r="M188" i="1" s="1"/>
  <c r="M104" i="1"/>
  <c r="M226" i="1" s="1"/>
  <c r="M94" i="1"/>
  <c r="M225" i="1" s="1"/>
  <c r="M153" i="1" l="1"/>
  <c r="M155" i="1" s="1"/>
  <c r="L157" i="1"/>
  <c r="L232" i="1"/>
  <c r="L233" i="1"/>
  <c r="L194" i="1"/>
  <c r="L195" i="1"/>
  <c r="M228" i="1"/>
  <c r="M230" i="1" s="1"/>
  <c r="M190" i="1"/>
  <c r="M192" i="1" s="1"/>
  <c r="M157" i="1" l="1"/>
  <c r="M158" i="1"/>
  <c r="M232" i="1"/>
  <c r="M233" i="1"/>
  <c r="M194" i="1"/>
  <c r="M195" i="1"/>
</calcChain>
</file>

<file path=xl/sharedStrings.xml><?xml version="1.0" encoding="utf-8"?>
<sst xmlns="http://schemas.openxmlformats.org/spreadsheetml/2006/main" count="187" uniqueCount="87">
  <si>
    <t>A - General Fund</t>
  </si>
  <si>
    <t>AFSCME</t>
  </si>
  <si>
    <t>CSEA</t>
  </si>
  <si>
    <t>Department Head</t>
  </si>
  <si>
    <t>Fire</t>
  </si>
  <si>
    <t>Police</t>
  </si>
  <si>
    <t>Unrepresented</t>
  </si>
  <si>
    <t>FX - Water Fund</t>
  </si>
  <si>
    <t>G - Sewer Fund</t>
  </si>
  <si>
    <t>ERS Contribution Rate</t>
  </si>
  <si>
    <t>OTHER PERSONNEL ITEMS</t>
  </si>
  <si>
    <t>A</t>
  </si>
  <si>
    <t>FX</t>
  </si>
  <si>
    <t>G</t>
  </si>
  <si>
    <t>CONTRACUAL</t>
  </si>
  <si>
    <t>INTERFUNDS</t>
  </si>
  <si>
    <t>FICA</t>
  </si>
  <si>
    <t>MEDICAL INSURANCE</t>
  </si>
  <si>
    <t>NYS RETIREMENT</t>
  </si>
  <si>
    <t>OTHER BENFITS</t>
  </si>
  <si>
    <t>Growth of the CPI-U</t>
  </si>
  <si>
    <t>https://www.cbo.gov/data/budget-economic-data#6</t>
  </si>
  <si>
    <t>Growth of the GDP-I</t>
  </si>
  <si>
    <t>Total Wages</t>
  </si>
  <si>
    <t>Growth</t>
  </si>
  <si>
    <t>Personnel Costs</t>
  </si>
  <si>
    <t>Other Costs</t>
  </si>
  <si>
    <t xml:space="preserve">Total Personnel </t>
  </si>
  <si>
    <t>Equipment</t>
  </si>
  <si>
    <t>Contractual</t>
  </si>
  <si>
    <t>Debt Payments</t>
  </si>
  <si>
    <t>Interfund</t>
  </si>
  <si>
    <t>Employee Benefits</t>
  </si>
  <si>
    <t>Health Related</t>
  </si>
  <si>
    <t>Retirement</t>
  </si>
  <si>
    <t>Other</t>
  </si>
  <si>
    <t xml:space="preserve">Total Employee Benefits </t>
  </si>
  <si>
    <t>Model Inputs:</t>
  </si>
  <si>
    <t>Average Projected Inflation</t>
  </si>
  <si>
    <t>PFRS Contribution Rate</t>
  </si>
  <si>
    <t>FICA/Medicare Taxes</t>
  </si>
  <si>
    <t>AFSCME COLA</t>
  </si>
  <si>
    <t>CSEA COLA</t>
  </si>
  <si>
    <t>Department Head COLA</t>
  </si>
  <si>
    <t>Fire COLA</t>
  </si>
  <si>
    <t>Police COLA</t>
  </si>
  <si>
    <t>Unrepresented COLA</t>
  </si>
  <si>
    <t>Input</t>
  </si>
  <si>
    <t>Revenues</t>
  </si>
  <si>
    <t>Property Taxes</t>
  </si>
  <si>
    <t>Sales Taxes</t>
  </si>
  <si>
    <t>State AIM</t>
  </si>
  <si>
    <t xml:space="preserve">Other Misc. </t>
  </si>
  <si>
    <t>Departmental Income</t>
  </si>
  <si>
    <t>Other Prop. &amp; Mort. Taxes</t>
  </si>
  <si>
    <t xml:space="preserve">Total Revenue </t>
  </si>
  <si>
    <t xml:space="preserve">Fund Balance App. </t>
  </si>
  <si>
    <t>Expenditures</t>
  </si>
  <si>
    <t>Total Expenditures</t>
  </si>
  <si>
    <t>Budget Surplus  (Deficit)</t>
  </si>
  <si>
    <t>Metered Water Sales</t>
  </si>
  <si>
    <t>Sewer Rents</t>
  </si>
  <si>
    <t>Town Costs</t>
  </si>
  <si>
    <t>Water Rate Increase</t>
  </si>
  <si>
    <t>Sewer Rate Increase</t>
  </si>
  <si>
    <t>Property Tax Levy Increase</t>
  </si>
  <si>
    <t>Property Tax Increase  Required to Break Even</t>
  </si>
  <si>
    <t>Water Rate Increase Required to Break Even</t>
  </si>
  <si>
    <t>Refuse User Charges</t>
  </si>
  <si>
    <t>Refuse Rate Increase Required to Break Even</t>
  </si>
  <si>
    <t>Sewer Rate Increase Required to Break Even</t>
  </si>
  <si>
    <t>Refuse Rate Increase</t>
  </si>
  <si>
    <t>Projected Health Inflation</t>
  </si>
  <si>
    <t>EQUIPMENT</t>
  </si>
  <si>
    <t>DEBT LEASES</t>
  </si>
  <si>
    <t>Interest</t>
  </si>
  <si>
    <t>Ambulance</t>
  </si>
  <si>
    <t>DEBT OLD SCHEDULE</t>
  </si>
  <si>
    <t>DEBT NEW SCHEDULE</t>
  </si>
  <si>
    <t>Yes</t>
  </si>
  <si>
    <t>No</t>
  </si>
  <si>
    <t>Include Proposed Capital Project Financing?</t>
  </si>
  <si>
    <r>
      <rPr>
        <b/>
        <sz val="20"/>
        <color theme="1"/>
        <rFont val="Calibri"/>
        <family val="2"/>
        <scheme val="minor"/>
      </rPr>
      <t>City of Lockport FY 2024 to FY 2034 Projections Model</t>
    </r>
    <r>
      <rPr>
        <sz val="20"/>
        <color theme="1"/>
        <rFont val="Calibri"/>
        <family val="2"/>
        <scheme val="minor"/>
      </rPr>
      <t xml:space="preserve">      </t>
    </r>
    <r>
      <rPr>
        <sz val="11"/>
        <color theme="1"/>
        <rFont val="Calibri"/>
        <family val="2"/>
        <scheme val="minor"/>
      </rPr>
      <t xml:space="preserve">                                                                                                                                                                                                                                                                                                                                                                                                                                                                                                                                       To use, alter 'Model Inputs' below (all values can be modified). Inputs will alters cells and values throughout the projections for each applicable fund.  Some notes: (1) COLA values in blue are extrapolated from the current union agreements and are not ratified figures. (2) Average inflation is taken from the Congressional Budget Office for US Congress 'Budget and Economic Data' set. (3) Debt repayments for short-term financing for sewer fund projects is estimated and meant to provide an illustrative example, not exact figures. (4) The distribution of employees' steps is assumed to be the same each year. This will shift as the active workforce's average employment time shortens and lengthens. (5) Values displayed to 'Break Even' are based on the prior year accumulation. For example, a break-even value showed as 1% for 2024. If prior year alterations are made to the input values, the break-even figure for 2024 will increase, as the percentage increase starting point (the revenue for the prior year) is now lower. (6) Fund Balance utilization is assumed to carry into two future years for equipment in the General Fund.  (7) Plus values on left side of the screen will expand and shorten projections tables for your convenience. </t>
    </r>
  </si>
  <si>
    <t>General Fund Projections, FY 2024 - FY 2034</t>
  </si>
  <si>
    <t>Water Fund Projections, FY 2024 - FY 2034</t>
  </si>
  <si>
    <t>Sewer Fund Projections, FY 2024 - FY 2034</t>
  </si>
  <si>
    <t>Refuse Fund Projections, FY 2024 - FY 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</si>
</sst>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quot;$&quot;* #,##0_);_(&quot;$&quot;* \(#,##0\);_(&quot;$&quot;* &quot;-&quot;??_);_(@_)"/>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b/>
      <u/>
      <sz val="16"/>
      <color theme="1"/>
      <name val="Calibri"/>
      <family val="2"/>
      <scheme val="minor"/>
    </font>
    <font>
      <b/>
      <i/>
      <sz val="10"/>
      <color theme="1"/>
      <name val="Calibri"/>
      <family val="2"/>
      <scheme val="minor"/>
    </font>
    <font>
      <sz val="20"/>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10">
    <xf numFmtId="0" fontId="0" fillId="0" borderId="0" xfId="0"/>
    <xf numFmtId="164" fontId="0" fillId="0" borderId="0" xfId="2" applyNumberFormat="1" applyFont="1"/>
    <xf numFmtId="164" fontId="0" fillId="0" borderId="0" xfId="0" applyNumberFormat="1"/>
    <xf numFmtId="165" fontId="1" fillId="0" borderId="1" xfId="3" applyNumberFormat="1" applyFont="1" applyBorder="1" applyAlignment="1">
      <alignment horizontal="center" vertical="center"/>
    </xf>
    <xf numFmtId="0" fontId="2" fillId="2" borderId="1" xfId="1" applyNumberFormat="1" applyFont="1" applyFill="1" applyBorder="1" applyAlignment="1">
      <alignment horizontal="center" vertical="center"/>
    </xf>
    <xf numFmtId="165" fontId="0" fillId="0" borderId="1" xfId="3" applyNumberFormat="1" applyFont="1" applyBorder="1" applyAlignment="1">
      <alignment horizontal="center" vertical="center"/>
    </xf>
    <xf numFmtId="165" fontId="0" fillId="0" borderId="1" xfId="3" applyNumberFormat="1" applyFont="1" applyFill="1" applyBorder="1" applyAlignment="1">
      <alignment horizontal="center" vertical="center"/>
    </xf>
    <xf numFmtId="10" fontId="0" fillId="0" borderId="1" xfId="0" applyNumberFormat="1" applyBorder="1" applyAlignment="1">
      <alignment horizontal="center" vertical="center"/>
    </xf>
    <xf numFmtId="165" fontId="0" fillId="0" borderId="1" xfId="0" applyNumberFormat="1" applyBorder="1" applyAlignment="1">
      <alignment horizontal="center" vertical="center"/>
    </xf>
    <xf numFmtId="43" fontId="0" fillId="0" borderId="1" xfId="1" applyFont="1" applyBorder="1" applyAlignment="1">
      <alignment horizontal="center" vertical="center"/>
    </xf>
    <xf numFmtId="165" fontId="0" fillId="3" borderId="1" xfId="3" applyNumberFormat="1" applyFont="1" applyFill="1" applyBorder="1" applyAlignment="1">
      <alignment horizontal="center" vertical="center"/>
    </xf>
    <xf numFmtId="165" fontId="1" fillId="3" borderId="1" xfId="3" applyNumberFormat="1" applyFont="1" applyFill="1" applyBorder="1" applyAlignment="1">
      <alignment horizontal="center" vertical="center"/>
    </xf>
    <xf numFmtId="165" fontId="6" fillId="0" borderId="1" xfId="3" applyNumberFormat="1" applyFont="1" applyBorder="1" applyAlignment="1">
      <alignment horizontal="center" vertical="center"/>
    </xf>
    <xf numFmtId="10" fontId="6" fillId="0" borderId="1" xfId="0" applyNumberFormat="1" applyFont="1" applyBorder="1" applyAlignment="1">
      <alignment horizontal="center" vertical="center"/>
    </xf>
    <xf numFmtId="43" fontId="6" fillId="0" borderId="1" xfId="1" applyFont="1" applyBorder="1" applyAlignment="1">
      <alignment horizontal="center" vertical="center"/>
    </xf>
    <xf numFmtId="0" fontId="2" fillId="0" borderId="0" xfId="1" applyNumberFormat="1" applyFont="1" applyBorder="1" applyAlignment="1">
      <alignment horizontal="center" vertical="center"/>
    </xf>
    <xf numFmtId="0" fontId="2" fillId="0" borderId="7" xfId="1" applyNumberFormat="1" applyFont="1" applyBorder="1" applyAlignment="1">
      <alignment horizontal="center" vertical="center"/>
    </xf>
    <xf numFmtId="0" fontId="0" fillId="0" borderId="6" xfId="0" applyBorder="1"/>
    <xf numFmtId="0" fontId="2" fillId="2" borderId="13" xfId="0" applyFont="1" applyFill="1" applyBorder="1" applyAlignment="1">
      <alignment horizontal="right" vertical="center"/>
    </xf>
    <xf numFmtId="0" fontId="2" fillId="2" borderId="14" xfId="1" applyNumberFormat="1" applyFont="1" applyFill="1" applyBorder="1" applyAlignment="1">
      <alignment horizontal="center" vertical="center"/>
    </xf>
    <xf numFmtId="165" fontId="0" fillId="3" borderId="14" xfId="3" applyNumberFormat="1" applyFont="1" applyFill="1" applyBorder="1" applyAlignment="1">
      <alignment horizontal="center" vertical="center"/>
    </xf>
    <xf numFmtId="165" fontId="1" fillId="3" borderId="14" xfId="3" applyNumberFormat="1" applyFont="1" applyFill="1" applyBorder="1" applyAlignment="1">
      <alignment horizontal="center" vertical="center"/>
    </xf>
    <xf numFmtId="164" fontId="6" fillId="0" borderId="0" xfId="2" applyNumberFormat="1" applyFon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10" fontId="0" fillId="0" borderId="14" xfId="0" applyNumberFormat="1" applyBorder="1" applyAlignment="1">
      <alignment horizontal="center" vertical="center"/>
    </xf>
    <xf numFmtId="165" fontId="0" fillId="0" borderId="14" xfId="0" applyNumberFormat="1" applyBorder="1" applyAlignment="1">
      <alignment horizontal="center" vertical="center"/>
    </xf>
    <xf numFmtId="164" fontId="0" fillId="0" borderId="0" xfId="2" applyNumberFormat="1" applyFont="1" applyBorder="1" applyAlignment="1">
      <alignment horizontal="center" vertical="center"/>
    </xf>
    <xf numFmtId="165" fontId="0" fillId="0" borderId="14" xfId="3" applyNumberFormat="1" applyFont="1" applyBorder="1" applyAlignment="1">
      <alignment horizontal="center" vertical="center"/>
    </xf>
    <xf numFmtId="165" fontId="1" fillId="0" borderId="14" xfId="3" applyNumberFormat="1" applyFont="1" applyBorder="1" applyAlignment="1">
      <alignment horizontal="center" vertical="center"/>
    </xf>
    <xf numFmtId="0" fontId="3" fillId="0" borderId="6" xfId="4" applyBorder="1"/>
    <xf numFmtId="165" fontId="6" fillId="0" borderId="0" xfId="3" applyNumberFormat="1" applyFont="1" applyBorder="1" applyAlignment="1">
      <alignment horizontal="center" vertical="center"/>
    </xf>
    <xf numFmtId="165" fontId="0" fillId="0" borderId="0" xfId="3" applyNumberFormat="1" applyFont="1" applyBorder="1" applyAlignment="1">
      <alignment horizontal="center" vertical="center"/>
    </xf>
    <xf numFmtId="164" fontId="7" fillId="0" borderId="0" xfId="2" applyNumberFormat="1" applyFont="1" applyBorder="1" applyAlignment="1">
      <alignment horizontal="center" vertical="center"/>
    </xf>
    <xf numFmtId="164" fontId="0" fillId="0" borderId="7" xfId="2" applyNumberFormat="1" applyFont="1" applyBorder="1" applyAlignment="1">
      <alignment horizontal="center" vertical="center"/>
    </xf>
    <xf numFmtId="164" fontId="2" fillId="0" borderId="0" xfId="2" applyNumberFormat="1" applyFont="1" applyBorder="1" applyAlignment="1">
      <alignment horizontal="center" vertical="center"/>
    </xf>
    <xf numFmtId="164" fontId="2" fillId="0" borderId="7" xfId="2" applyNumberFormat="1" applyFont="1" applyBorder="1" applyAlignment="1">
      <alignment horizontal="center" vertical="center"/>
    </xf>
    <xf numFmtId="165" fontId="2" fillId="0" borderId="0" xfId="3" applyNumberFormat="1" applyFont="1" applyBorder="1" applyAlignment="1">
      <alignment horizontal="center" vertical="center"/>
    </xf>
    <xf numFmtId="165" fontId="2" fillId="0" borderId="7" xfId="3" applyNumberFormat="1" applyFont="1" applyBorder="1" applyAlignment="1">
      <alignment horizontal="center" vertical="center"/>
    </xf>
    <xf numFmtId="164" fontId="0" fillId="0" borderId="0" xfId="0" applyNumberFormat="1" applyBorder="1" applyAlignment="1">
      <alignment horizontal="center" vertical="center"/>
    </xf>
    <xf numFmtId="164" fontId="0" fillId="0" borderId="7" xfId="0" applyNumberFormat="1" applyBorder="1" applyAlignment="1">
      <alignment horizontal="center" vertical="center"/>
    </xf>
    <xf numFmtId="44" fontId="0" fillId="0" borderId="0" xfId="2" applyFont="1" applyBorder="1" applyAlignment="1">
      <alignment horizontal="center" vertical="center"/>
    </xf>
    <xf numFmtId="44" fontId="0" fillId="0" borderId="7" xfId="2" applyFont="1" applyBorder="1" applyAlignment="1">
      <alignment horizontal="center" vertical="center"/>
    </xf>
    <xf numFmtId="0" fontId="2" fillId="2" borderId="6" xfId="0" applyFont="1" applyFill="1" applyBorder="1"/>
    <xf numFmtId="164" fontId="0" fillId="2" borderId="0" xfId="2" applyNumberFormat="1" applyFont="1" applyFill="1" applyBorder="1"/>
    <xf numFmtId="0" fontId="0" fillId="2" borderId="0" xfId="0" applyFill="1" applyBorder="1"/>
    <xf numFmtId="0" fontId="0" fillId="2" borderId="7" xfId="0" applyFill="1" applyBorder="1"/>
    <xf numFmtId="0" fontId="2" fillId="2" borderId="0" xfId="1" applyNumberFormat="1" applyFont="1" applyFill="1" applyBorder="1" applyAlignment="1">
      <alignment horizontal="center" vertical="center"/>
    </xf>
    <xf numFmtId="0" fontId="2" fillId="2" borderId="7" xfId="1" applyNumberFormat="1" applyFont="1" applyFill="1" applyBorder="1" applyAlignment="1">
      <alignment horizontal="center" vertical="center"/>
    </xf>
    <xf numFmtId="0" fontId="0" fillId="2" borderId="6" xfId="0" applyFont="1" applyFill="1" applyBorder="1" applyAlignment="1">
      <alignment horizontal="left" indent="4"/>
    </xf>
    <xf numFmtId="164" fontId="0" fillId="2" borderId="7" xfId="2" applyNumberFormat="1" applyFont="1" applyFill="1" applyBorder="1"/>
    <xf numFmtId="0" fontId="2" fillId="2" borderId="6" xfId="0" applyFont="1" applyFill="1" applyBorder="1" applyAlignment="1">
      <alignment horizontal="left" indent="2"/>
    </xf>
    <xf numFmtId="164" fontId="2" fillId="2" borderId="0" xfId="2" applyNumberFormat="1" applyFont="1" applyFill="1" applyBorder="1"/>
    <xf numFmtId="164" fontId="2" fillId="2" borderId="7" xfId="2" applyNumberFormat="1" applyFont="1" applyFill="1" applyBorder="1"/>
    <xf numFmtId="0" fontId="0" fillId="2" borderId="6" xfId="0" applyFill="1" applyBorder="1" applyAlignment="1">
      <alignment horizontal="left" indent="5"/>
    </xf>
    <xf numFmtId="0" fontId="0" fillId="2" borderId="6" xfId="0" applyFill="1" applyBorder="1"/>
    <xf numFmtId="0" fontId="2" fillId="2" borderId="6" xfId="0" applyFont="1" applyFill="1" applyBorder="1" applyAlignment="1">
      <alignment horizontal="left" indent="5"/>
    </xf>
    <xf numFmtId="0" fontId="2" fillId="2" borderId="8" xfId="0" applyFont="1" applyFill="1" applyBorder="1" applyAlignment="1">
      <alignment horizontal="left" indent="5"/>
    </xf>
    <xf numFmtId="164" fontId="2" fillId="2" borderId="2" xfId="2" applyNumberFormat="1" applyFont="1" applyFill="1" applyBorder="1"/>
    <xf numFmtId="164" fontId="2" fillId="2" borderId="9" xfId="2" applyNumberFormat="1" applyFont="1" applyFill="1" applyBorder="1"/>
    <xf numFmtId="0" fontId="0" fillId="2" borderId="8" xfId="0" applyFill="1" applyBorder="1"/>
    <xf numFmtId="164" fontId="0" fillId="2" borderId="2" xfId="2" applyNumberFormat="1" applyFont="1" applyFill="1" applyBorder="1"/>
    <xf numFmtId="0" fontId="0" fillId="2" borderId="2" xfId="0" applyFill="1" applyBorder="1"/>
    <xf numFmtId="0" fontId="0" fillId="2" borderId="9" xfId="0" applyFill="1" applyBorder="1"/>
    <xf numFmtId="0" fontId="0" fillId="0" borderId="0" xfId="0" applyFill="1" applyBorder="1"/>
    <xf numFmtId="164" fontId="0" fillId="0" borderId="0" xfId="2" applyNumberFormat="1" applyFont="1" applyFill="1" applyBorder="1"/>
    <xf numFmtId="0" fontId="9" fillId="2" borderId="10" xfId="0" applyFont="1" applyFill="1" applyBorder="1" applyAlignment="1">
      <alignment horizontal="left" indent="5"/>
    </xf>
    <xf numFmtId="164" fontId="9" fillId="2" borderId="11" xfId="2" applyNumberFormat="1" applyFont="1" applyFill="1" applyBorder="1"/>
    <xf numFmtId="10" fontId="9" fillId="2" borderId="11" xfId="3" applyNumberFormat="1" applyFont="1" applyFill="1" applyBorder="1"/>
    <xf numFmtId="10" fontId="9" fillId="2" borderId="12" xfId="3" applyNumberFormat="1" applyFont="1" applyFill="1" applyBorder="1"/>
    <xf numFmtId="0" fontId="0" fillId="2" borderId="6" xfId="0" applyFont="1" applyFill="1" applyBorder="1" applyAlignment="1">
      <alignment horizontal="left" indent="2"/>
    </xf>
    <xf numFmtId="0" fontId="4" fillId="2" borderId="0" xfId="1" applyNumberFormat="1" applyFont="1" applyFill="1" applyBorder="1" applyAlignment="1">
      <alignment horizontal="center" vertical="center"/>
    </xf>
    <xf numFmtId="0" fontId="4" fillId="2" borderId="7" xfId="1" applyNumberFormat="1" applyFont="1" applyFill="1" applyBorder="1" applyAlignment="1">
      <alignment horizontal="center" vertical="center"/>
    </xf>
    <xf numFmtId="164" fontId="5" fillId="2" borderId="0" xfId="2" applyNumberFormat="1" applyFont="1" applyFill="1" applyBorder="1"/>
    <xf numFmtId="0" fontId="5" fillId="2" borderId="0" xfId="0" applyFont="1" applyFill="1" applyBorder="1"/>
    <xf numFmtId="0" fontId="5" fillId="2" borderId="7" xfId="0" applyFont="1" applyFill="1" applyBorder="1"/>
    <xf numFmtId="165" fontId="6" fillId="0" borderId="15" xfId="3" applyNumberFormat="1" applyFont="1" applyBorder="1" applyAlignment="1">
      <alignment horizontal="center" vertical="center"/>
    </xf>
    <xf numFmtId="165" fontId="0" fillId="4" borderId="1" xfId="3" applyNumberFormat="1" applyFont="1" applyFill="1" applyBorder="1" applyAlignment="1">
      <alignment horizontal="center" vertical="center"/>
    </xf>
    <xf numFmtId="165" fontId="0" fillId="4" borderId="14" xfId="3" applyNumberFormat="1" applyFont="1" applyFill="1" applyBorder="1" applyAlignment="1">
      <alignment horizontal="center" vertical="center"/>
    </xf>
    <xf numFmtId="165" fontId="0" fillId="4" borderId="15" xfId="3" applyNumberFormat="1" applyFont="1" applyFill="1" applyBorder="1" applyAlignment="1">
      <alignment horizontal="center" vertical="center"/>
    </xf>
    <xf numFmtId="165" fontId="0" fillId="4" borderId="16" xfId="3" applyNumberFormat="1" applyFont="1" applyFill="1" applyBorder="1" applyAlignment="1">
      <alignment horizontal="center" vertical="center"/>
    </xf>
    <xf numFmtId="0" fontId="0" fillId="0" borderId="0" xfId="0" applyAlignment="1">
      <alignment wrapText="1"/>
    </xf>
    <xf numFmtId="0" fontId="0" fillId="0" borderId="6" xfId="0" applyBorder="1" applyAlignment="1"/>
    <xf numFmtId="0" fontId="0" fillId="0" borderId="0" xfId="0" applyAlignment="1"/>
    <xf numFmtId="0" fontId="2" fillId="2" borderId="17" xfId="1" applyNumberFormat="1" applyFont="1" applyFill="1" applyBorder="1" applyAlignment="1">
      <alignment horizontal="center" vertical="center"/>
    </xf>
    <xf numFmtId="165" fontId="0" fillId="3" borderId="17" xfId="3" applyNumberFormat="1" applyFont="1" applyFill="1" applyBorder="1" applyAlignment="1">
      <alignment horizontal="center" vertical="center"/>
    </xf>
    <xf numFmtId="165" fontId="1" fillId="3" borderId="17" xfId="3" applyNumberFormat="1" applyFont="1" applyFill="1" applyBorder="1" applyAlignment="1">
      <alignment horizontal="center" vertical="center"/>
    </xf>
    <xf numFmtId="10" fontId="0" fillId="0" borderId="17" xfId="0" applyNumberFormat="1" applyBorder="1" applyAlignment="1">
      <alignment horizontal="center" vertical="center"/>
    </xf>
    <xf numFmtId="165" fontId="0" fillId="0" borderId="18" xfId="0" applyNumberFormat="1" applyBorder="1" applyAlignment="1">
      <alignment horizontal="center" vertical="center"/>
    </xf>
    <xf numFmtId="165" fontId="0" fillId="0" borderId="19" xfId="0" applyNumberFormat="1" applyBorder="1" applyAlignment="1">
      <alignment horizontal="center" vertical="center"/>
    </xf>
    <xf numFmtId="0" fontId="2" fillId="2" borderId="20" xfId="0" applyFont="1" applyFill="1" applyBorder="1" applyAlignment="1">
      <alignment horizontal="right" vertical="center"/>
    </xf>
    <xf numFmtId="164" fontId="6" fillId="0" borderId="0" xfId="2" applyNumberFormat="1" applyFont="1" applyFill="1" applyBorder="1" applyAlignment="1">
      <alignment horizontal="center" vertical="center"/>
    </xf>
    <xf numFmtId="164" fontId="0" fillId="0" borderId="0" xfId="2" applyNumberFormat="1" applyFont="1" applyFill="1" applyBorder="1" applyAlignment="1">
      <alignment horizontal="center" vertical="center"/>
    </xf>
    <xf numFmtId="164" fontId="0" fillId="0" borderId="7" xfId="2"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44" fontId="6" fillId="0" borderId="0" xfId="2" applyFont="1" applyFill="1" applyBorder="1" applyAlignment="1">
      <alignment horizontal="center" vertical="center"/>
    </xf>
    <xf numFmtId="44" fontId="0" fillId="0" borderId="0" xfId="2" applyFont="1" applyFill="1" applyBorder="1" applyAlignment="1">
      <alignment horizontal="center" vertical="center"/>
    </xf>
    <xf numFmtId="44" fontId="0" fillId="0" borderId="7" xfId="2" applyFont="1" applyFill="1" applyBorder="1" applyAlignment="1">
      <alignment horizontal="center" vertical="center"/>
    </xf>
    <xf numFmtId="0" fontId="0" fillId="0" borderId="0" xfId="0" applyAlignment="1">
      <alignment horizontal="center" vertical="top" wrapText="1"/>
    </xf>
    <xf numFmtId="0" fontId="0" fillId="0" borderId="11" xfId="0" applyBorder="1" applyAlignment="1">
      <alignment horizontal="center" vertical="top"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0" fillId="0" borderId="7" xfId="0"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bo.gov/data/budget-economic-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51"/>
  <sheetViews>
    <sheetView showGridLines="0" tabSelected="1" zoomScale="70" zoomScaleNormal="70" workbookViewId="0">
      <selection activeCell="B2" sqref="B2:M9"/>
    </sheetView>
  </sheetViews>
  <sheetFormatPr defaultRowHeight="15" outlineLevelRow="1" x14ac:dyDescent="0.25"/>
  <cols>
    <col min="2" max="2" width="32.140625" customWidth="1"/>
    <col min="3" max="3" width="15.28515625" style="1" customWidth="1"/>
    <col min="4" max="13" width="14.28515625" bestFit="1" customWidth="1"/>
    <col min="15" max="15" width="0" hidden="1" customWidth="1"/>
    <col min="17" max="17" width="11" customWidth="1"/>
  </cols>
  <sheetData>
    <row r="2" spans="2:24" x14ac:dyDescent="0.25">
      <c r="B2" s="99" t="s">
        <v>82</v>
      </c>
      <c r="C2" s="99"/>
      <c r="D2" s="99"/>
      <c r="E2" s="99"/>
      <c r="F2" s="99"/>
      <c r="G2" s="99"/>
      <c r="H2" s="99"/>
      <c r="I2" s="99"/>
      <c r="J2" s="99"/>
      <c r="K2" s="99"/>
      <c r="L2" s="99"/>
      <c r="M2" s="99"/>
    </row>
    <row r="3" spans="2:24" x14ac:dyDescent="0.25">
      <c r="B3" s="99"/>
      <c r="C3" s="99"/>
      <c r="D3" s="99"/>
      <c r="E3" s="99"/>
      <c r="F3" s="99"/>
      <c r="G3" s="99"/>
      <c r="H3" s="99"/>
      <c r="I3" s="99"/>
      <c r="J3" s="99"/>
      <c r="K3" s="99"/>
      <c r="L3" s="99"/>
      <c r="M3" s="99"/>
    </row>
    <row r="4" spans="2:24" x14ac:dyDescent="0.25">
      <c r="B4" s="99"/>
      <c r="C4" s="99"/>
      <c r="D4" s="99"/>
      <c r="E4" s="99"/>
      <c r="F4" s="99"/>
      <c r="G4" s="99"/>
      <c r="H4" s="99"/>
      <c r="I4" s="99"/>
      <c r="J4" s="99"/>
      <c r="K4" s="99"/>
      <c r="L4" s="99"/>
      <c r="M4" s="99"/>
    </row>
    <row r="5" spans="2:24" x14ac:dyDescent="0.25">
      <c r="B5" s="99"/>
      <c r="C5" s="99"/>
      <c r="D5" s="99"/>
      <c r="E5" s="99"/>
      <c r="F5" s="99"/>
      <c r="G5" s="99"/>
      <c r="H5" s="99"/>
      <c r="I5" s="99"/>
      <c r="J5" s="99"/>
      <c r="K5" s="99"/>
      <c r="L5" s="99"/>
      <c r="M5" s="99"/>
    </row>
    <row r="6" spans="2:24" x14ac:dyDescent="0.25">
      <c r="B6" s="99"/>
      <c r="C6" s="99"/>
      <c r="D6" s="99"/>
      <c r="E6" s="99"/>
      <c r="F6" s="99"/>
      <c r="G6" s="99"/>
      <c r="H6" s="99"/>
      <c r="I6" s="99"/>
      <c r="J6" s="99"/>
      <c r="K6" s="99"/>
      <c r="L6" s="99"/>
      <c r="M6" s="99"/>
    </row>
    <row r="7" spans="2:24" x14ac:dyDescent="0.25">
      <c r="B7" s="99"/>
      <c r="C7" s="99"/>
      <c r="D7" s="99"/>
      <c r="E7" s="99"/>
      <c r="F7" s="99"/>
      <c r="G7" s="99"/>
      <c r="H7" s="99"/>
      <c r="I7" s="99"/>
      <c r="J7" s="99"/>
      <c r="K7" s="99"/>
      <c r="L7" s="99"/>
      <c r="M7" s="99"/>
    </row>
    <row r="8" spans="2:24" x14ac:dyDescent="0.25">
      <c r="B8" s="99"/>
      <c r="C8" s="99"/>
      <c r="D8" s="99"/>
      <c r="E8" s="99"/>
      <c r="F8" s="99"/>
      <c r="G8" s="99"/>
      <c r="H8" s="99"/>
      <c r="I8" s="99"/>
      <c r="J8" s="99"/>
      <c r="K8" s="99"/>
      <c r="L8" s="99"/>
      <c r="M8" s="99"/>
    </row>
    <row r="9" spans="2:24" ht="36.75" customHeight="1" thickBot="1" x14ac:dyDescent="0.3">
      <c r="B9" s="100"/>
      <c r="C9" s="100"/>
      <c r="D9" s="100"/>
      <c r="E9" s="100"/>
      <c r="F9" s="100"/>
      <c r="G9" s="100"/>
      <c r="H9" s="100"/>
      <c r="I9" s="100"/>
      <c r="J9" s="100"/>
      <c r="K9" s="100"/>
      <c r="L9" s="100"/>
      <c r="M9" s="100"/>
    </row>
    <row r="10" spans="2:24" x14ac:dyDescent="0.25">
      <c r="B10" s="105" t="s">
        <v>37</v>
      </c>
      <c r="C10" s="106"/>
      <c r="D10" s="106"/>
      <c r="E10" s="106"/>
      <c r="F10" s="106"/>
      <c r="G10" s="106"/>
      <c r="H10" s="106"/>
      <c r="I10" s="106"/>
      <c r="J10" s="106"/>
      <c r="K10" s="106"/>
      <c r="L10" s="106"/>
      <c r="M10" s="107"/>
      <c r="O10" s="81"/>
      <c r="P10" s="81"/>
      <c r="Q10" s="81"/>
      <c r="R10" s="81"/>
      <c r="S10" s="81"/>
      <c r="T10" s="81"/>
      <c r="U10" s="81"/>
      <c r="V10" s="81"/>
      <c r="W10" s="81"/>
      <c r="X10" s="81"/>
    </row>
    <row r="11" spans="2:24" x14ac:dyDescent="0.25">
      <c r="B11" s="18" t="s">
        <v>47</v>
      </c>
      <c r="C11" s="4">
        <v>2024</v>
      </c>
      <c r="D11" s="4">
        <v>2025</v>
      </c>
      <c r="E11" s="4">
        <v>2026</v>
      </c>
      <c r="F11" s="4">
        <v>2027</v>
      </c>
      <c r="G11" s="4">
        <v>2028</v>
      </c>
      <c r="H11" s="4">
        <v>2029</v>
      </c>
      <c r="I11" s="4">
        <v>2030</v>
      </c>
      <c r="J11" s="84">
        <v>2031</v>
      </c>
      <c r="K11" s="4">
        <v>2032</v>
      </c>
      <c r="L11" s="4">
        <v>2033</v>
      </c>
      <c r="M11" s="19">
        <v>2034</v>
      </c>
      <c r="O11" s="81"/>
      <c r="P11" s="81"/>
      <c r="Q11" s="81"/>
      <c r="R11" s="81"/>
      <c r="S11" s="81"/>
      <c r="T11" s="81"/>
      <c r="U11" s="81"/>
      <c r="V11" s="81"/>
      <c r="W11" s="81"/>
      <c r="X11" s="81"/>
    </row>
    <row r="12" spans="2:24" x14ac:dyDescent="0.25">
      <c r="B12" s="18" t="s">
        <v>41</v>
      </c>
      <c r="C12" s="5">
        <v>0.02</v>
      </c>
      <c r="D12" s="5">
        <v>0.02</v>
      </c>
      <c r="E12" s="5">
        <v>0.02</v>
      </c>
      <c r="F12" s="10">
        <v>0.02</v>
      </c>
      <c r="G12" s="10">
        <v>0.02</v>
      </c>
      <c r="H12" s="10">
        <v>0.02</v>
      </c>
      <c r="I12" s="10">
        <v>0.02</v>
      </c>
      <c r="J12" s="85">
        <v>0.02</v>
      </c>
      <c r="K12" s="10">
        <v>0.02</v>
      </c>
      <c r="L12" s="10">
        <v>0.02</v>
      </c>
      <c r="M12" s="20">
        <v>0.02</v>
      </c>
      <c r="O12" s="81"/>
      <c r="P12" s="81"/>
      <c r="Q12" s="81"/>
      <c r="R12" s="81"/>
      <c r="S12" s="81"/>
      <c r="T12" s="81"/>
      <c r="U12" s="81"/>
      <c r="V12" s="81"/>
      <c r="W12" s="81"/>
      <c r="X12" s="81"/>
    </row>
    <row r="13" spans="2:24" x14ac:dyDescent="0.25">
      <c r="B13" s="18" t="s">
        <v>42</v>
      </c>
      <c r="C13" s="6">
        <v>0.02</v>
      </c>
      <c r="D13" s="6">
        <v>0.02</v>
      </c>
      <c r="E13" s="6">
        <v>0.02</v>
      </c>
      <c r="F13" s="10">
        <v>0.02</v>
      </c>
      <c r="G13" s="10">
        <v>0.02</v>
      </c>
      <c r="H13" s="10">
        <v>0.02</v>
      </c>
      <c r="I13" s="10">
        <v>0.02</v>
      </c>
      <c r="J13" s="85">
        <v>0.02</v>
      </c>
      <c r="K13" s="10">
        <v>0.02</v>
      </c>
      <c r="L13" s="10">
        <v>0.02</v>
      </c>
      <c r="M13" s="20">
        <v>0.02</v>
      </c>
      <c r="O13" s="81"/>
      <c r="P13" s="81"/>
      <c r="Q13" s="81"/>
      <c r="R13" s="81"/>
      <c r="S13" s="81"/>
      <c r="T13" s="81"/>
      <c r="U13" s="81"/>
      <c r="V13" s="81"/>
      <c r="W13" s="81"/>
      <c r="X13" s="81"/>
    </row>
    <row r="14" spans="2:24" x14ac:dyDescent="0.25">
      <c r="B14" s="18" t="s">
        <v>43</v>
      </c>
      <c r="C14" s="5">
        <v>1.4999999999999999E-2</v>
      </c>
      <c r="D14" s="5">
        <v>0.02</v>
      </c>
      <c r="E14" s="5">
        <v>1.4999999999999999E-2</v>
      </c>
      <c r="F14" s="10">
        <v>0.02</v>
      </c>
      <c r="G14" s="10">
        <v>1.4999999999999999E-2</v>
      </c>
      <c r="H14" s="10">
        <v>0.02</v>
      </c>
      <c r="I14" s="10">
        <v>1.4999999999999999E-2</v>
      </c>
      <c r="J14" s="85">
        <v>1.4999999999999999E-2</v>
      </c>
      <c r="K14" s="10">
        <v>1.4999999999999999E-2</v>
      </c>
      <c r="L14" s="10">
        <v>1.4999999999999999E-2</v>
      </c>
      <c r="M14" s="20">
        <v>1.4999999999999999E-2</v>
      </c>
      <c r="O14" s="81"/>
      <c r="P14" s="81"/>
      <c r="Q14" s="81"/>
      <c r="R14" s="81"/>
      <c r="S14" s="81"/>
      <c r="T14" s="81"/>
      <c r="U14" s="81"/>
      <c r="V14" s="81"/>
      <c r="W14" s="81"/>
      <c r="X14" s="81"/>
    </row>
    <row r="15" spans="2:24" x14ac:dyDescent="0.25">
      <c r="B15" s="18" t="s">
        <v>44</v>
      </c>
      <c r="C15" s="5">
        <v>0.02</v>
      </c>
      <c r="D15" s="5">
        <v>1.4999999999999999E-2</v>
      </c>
      <c r="E15" s="5">
        <v>0.02</v>
      </c>
      <c r="F15" s="5">
        <v>1.4999999999999999E-2</v>
      </c>
      <c r="G15" s="5">
        <v>0.02</v>
      </c>
      <c r="H15" s="10">
        <v>1.4999999999999999E-2</v>
      </c>
      <c r="I15" s="10">
        <v>0.02</v>
      </c>
      <c r="J15" s="85">
        <v>0.02</v>
      </c>
      <c r="K15" s="10">
        <v>0.02</v>
      </c>
      <c r="L15" s="10">
        <v>0.02</v>
      </c>
      <c r="M15" s="20">
        <v>0.02</v>
      </c>
      <c r="O15" s="81"/>
      <c r="P15" s="81"/>
      <c r="Q15" s="81"/>
      <c r="R15" s="81"/>
      <c r="S15" s="81"/>
      <c r="T15" s="81"/>
      <c r="U15" s="81"/>
      <c r="V15" s="81"/>
      <c r="W15" s="81"/>
      <c r="X15" s="81"/>
    </row>
    <row r="16" spans="2:24" x14ac:dyDescent="0.25">
      <c r="B16" s="18" t="s">
        <v>45</v>
      </c>
      <c r="C16" s="11">
        <v>0.02</v>
      </c>
      <c r="D16" s="11">
        <v>0.02</v>
      </c>
      <c r="E16" s="11">
        <v>0.02</v>
      </c>
      <c r="F16" s="11">
        <v>0.02</v>
      </c>
      <c r="G16" s="11">
        <v>0.02</v>
      </c>
      <c r="H16" s="11">
        <v>0.02</v>
      </c>
      <c r="I16" s="11">
        <v>0.02</v>
      </c>
      <c r="J16" s="86">
        <v>0.02</v>
      </c>
      <c r="K16" s="11">
        <v>0.02</v>
      </c>
      <c r="L16" s="11">
        <v>0.02</v>
      </c>
      <c r="M16" s="21">
        <v>0.02</v>
      </c>
      <c r="O16" s="81"/>
      <c r="P16" s="81"/>
      <c r="Q16" s="81"/>
      <c r="R16" s="81"/>
      <c r="S16" s="81"/>
      <c r="T16" s="81"/>
      <c r="U16" s="81"/>
      <c r="V16" s="81"/>
      <c r="W16" s="81"/>
      <c r="X16" s="81"/>
    </row>
    <row r="17" spans="2:24" x14ac:dyDescent="0.25">
      <c r="B17" s="18" t="s">
        <v>46</v>
      </c>
      <c r="C17" s="10">
        <v>0</v>
      </c>
      <c r="D17" s="10">
        <v>0</v>
      </c>
      <c r="E17" s="10">
        <v>0</v>
      </c>
      <c r="F17" s="10">
        <v>0</v>
      </c>
      <c r="G17" s="10">
        <v>0</v>
      </c>
      <c r="H17" s="10">
        <v>0</v>
      </c>
      <c r="I17" s="10">
        <v>0</v>
      </c>
      <c r="J17" s="85">
        <v>0</v>
      </c>
      <c r="K17" s="10">
        <v>0</v>
      </c>
      <c r="L17" s="10">
        <v>0</v>
      </c>
      <c r="M17" s="20">
        <v>0</v>
      </c>
      <c r="O17" s="81" t="s">
        <v>79</v>
      </c>
      <c r="P17" s="81"/>
      <c r="Q17" s="81"/>
      <c r="R17" s="81"/>
      <c r="S17" s="81"/>
      <c r="T17" s="81"/>
      <c r="U17" s="81"/>
      <c r="V17" s="81"/>
      <c r="W17" s="81"/>
      <c r="X17" s="81"/>
    </row>
    <row r="18" spans="2:24" x14ac:dyDescent="0.25">
      <c r="B18" s="17"/>
      <c r="C18" s="22"/>
      <c r="D18" s="23"/>
      <c r="E18" s="23"/>
      <c r="F18" s="23"/>
      <c r="G18" s="23"/>
      <c r="H18" s="23"/>
      <c r="I18" s="23"/>
      <c r="J18" s="23"/>
      <c r="K18" s="23"/>
      <c r="L18" s="23"/>
      <c r="M18" s="24"/>
      <c r="O18" s="81" t="s">
        <v>80</v>
      </c>
      <c r="P18" s="81"/>
      <c r="Q18" s="81"/>
      <c r="R18" s="81"/>
      <c r="S18" s="81"/>
      <c r="T18" s="81"/>
      <c r="U18" s="81"/>
      <c r="V18" s="81"/>
      <c r="W18" s="81"/>
      <c r="X18" s="81"/>
    </row>
    <row r="19" spans="2:24" x14ac:dyDescent="0.25">
      <c r="B19" s="18" t="s">
        <v>40</v>
      </c>
      <c r="C19" s="13">
        <v>7.6499999999999999E-2</v>
      </c>
      <c r="D19" s="7">
        <f>C19</f>
        <v>7.6499999999999999E-2</v>
      </c>
      <c r="E19" s="7">
        <f t="shared" ref="E19:M19" si="0">D19</f>
        <v>7.6499999999999999E-2</v>
      </c>
      <c r="F19" s="7">
        <f t="shared" si="0"/>
        <v>7.6499999999999999E-2</v>
      </c>
      <c r="G19" s="7">
        <f t="shared" si="0"/>
        <v>7.6499999999999999E-2</v>
      </c>
      <c r="H19" s="7">
        <f t="shared" si="0"/>
        <v>7.6499999999999999E-2</v>
      </c>
      <c r="I19" s="7">
        <f t="shared" si="0"/>
        <v>7.6499999999999999E-2</v>
      </c>
      <c r="J19" s="7">
        <f t="shared" si="0"/>
        <v>7.6499999999999999E-2</v>
      </c>
      <c r="K19" s="87">
        <f t="shared" si="0"/>
        <v>7.6499999999999999E-2</v>
      </c>
      <c r="L19" s="7">
        <f t="shared" si="0"/>
        <v>7.6499999999999999E-2</v>
      </c>
      <c r="M19" s="25">
        <f t="shared" si="0"/>
        <v>7.6499999999999999E-2</v>
      </c>
      <c r="O19" s="81"/>
      <c r="P19" s="81"/>
      <c r="Q19" s="81"/>
      <c r="R19" s="81"/>
      <c r="S19" s="81"/>
      <c r="T19" s="81"/>
      <c r="U19" s="81"/>
      <c r="V19" s="81"/>
      <c r="W19" s="81"/>
      <c r="X19" s="81"/>
    </row>
    <row r="20" spans="2:24" x14ac:dyDescent="0.25">
      <c r="B20" s="18" t="s">
        <v>39</v>
      </c>
      <c r="C20" s="12">
        <v>0.27</v>
      </c>
      <c r="D20" s="8">
        <v>0.32</v>
      </c>
      <c r="E20" s="8">
        <f t="shared" ref="E20:M21" si="1">D20</f>
        <v>0.32</v>
      </c>
      <c r="F20" s="8">
        <f t="shared" si="1"/>
        <v>0.32</v>
      </c>
      <c r="G20" s="8">
        <f t="shared" si="1"/>
        <v>0.32</v>
      </c>
      <c r="H20" s="8">
        <f t="shared" si="1"/>
        <v>0.32</v>
      </c>
      <c r="I20" s="8">
        <f t="shared" si="1"/>
        <v>0.32</v>
      </c>
      <c r="J20" s="8">
        <f t="shared" si="1"/>
        <v>0.32</v>
      </c>
      <c r="K20" s="8">
        <f t="shared" si="1"/>
        <v>0.32</v>
      </c>
      <c r="L20" s="88">
        <f t="shared" si="1"/>
        <v>0.32</v>
      </c>
      <c r="M20" s="89">
        <f t="shared" si="1"/>
        <v>0.32</v>
      </c>
      <c r="O20" s="81"/>
      <c r="P20" s="81"/>
      <c r="Q20" s="81"/>
      <c r="R20" s="81"/>
      <c r="S20" s="81"/>
      <c r="T20" s="81"/>
      <c r="U20" s="81"/>
      <c r="V20" s="81"/>
      <c r="W20" s="81"/>
      <c r="X20" s="81"/>
    </row>
    <row r="21" spans="2:24" x14ac:dyDescent="0.25">
      <c r="B21" s="18" t="s">
        <v>9</v>
      </c>
      <c r="C21" s="12">
        <v>0.11600000000000001</v>
      </c>
      <c r="D21" s="8">
        <v>0.15</v>
      </c>
      <c r="E21" s="8">
        <f>D21</f>
        <v>0.15</v>
      </c>
      <c r="F21" s="8">
        <f t="shared" si="1"/>
        <v>0.15</v>
      </c>
      <c r="G21" s="8">
        <f t="shared" si="1"/>
        <v>0.15</v>
      </c>
      <c r="H21" s="8">
        <f t="shared" si="1"/>
        <v>0.15</v>
      </c>
      <c r="I21" s="8">
        <f t="shared" si="1"/>
        <v>0.15</v>
      </c>
      <c r="J21" s="8">
        <f t="shared" si="1"/>
        <v>0.15</v>
      </c>
      <c r="K21" s="8">
        <f t="shared" si="1"/>
        <v>0.15</v>
      </c>
      <c r="L21" s="8">
        <f t="shared" si="1"/>
        <v>0.15</v>
      </c>
      <c r="M21" s="26">
        <f t="shared" si="1"/>
        <v>0.15</v>
      </c>
      <c r="O21" s="81"/>
      <c r="P21" s="81"/>
      <c r="Q21" s="81"/>
      <c r="R21" s="81"/>
      <c r="S21" s="81"/>
      <c r="T21" s="81"/>
      <c r="U21" s="81"/>
      <c r="V21" s="81"/>
      <c r="W21" s="81"/>
      <c r="X21" s="81"/>
    </row>
    <row r="22" spans="2:24" x14ac:dyDescent="0.25">
      <c r="B22" s="17"/>
      <c r="C22" s="27"/>
      <c r="D22" s="23"/>
      <c r="E22" s="23"/>
      <c r="F22" s="23"/>
      <c r="G22" s="23"/>
      <c r="H22" s="23"/>
      <c r="I22" s="23"/>
      <c r="J22" s="23"/>
      <c r="K22" s="23"/>
      <c r="L22" s="23"/>
      <c r="M22" s="24"/>
      <c r="O22" s="81"/>
      <c r="P22" s="81"/>
      <c r="Q22" s="81"/>
      <c r="R22" s="81"/>
      <c r="S22" s="81"/>
      <c r="T22" s="81"/>
      <c r="U22" s="81"/>
      <c r="V22" s="81"/>
      <c r="W22" s="81"/>
      <c r="X22" s="81"/>
    </row>
    <row r="23" spans="2:24" x14ac:dyDescent="0.25">
      <c r="B23" s="18" t="s">
        <v>20</v>
      </c>
      <c r="C23" s="9">
        <v>0</v>
      </c>
      <c r="D23" s="5">
        <v>2.3E-2</v>
      </c>
      <c r="E23" s="5">
        <v>2.3E-2</v>
      </c>
      <c r="F23" s="5">
        <v>2.4E-2</v>
      </c>
      <c r="G23" s="5">
        <v>2.4E-2</v>
      </c>
      <c r="H23" s="5">
        <v>2.4E-2</v>
      </c>
      <c r="I23" s="5">
        <v>2.5000000000000001E-2</v>
      </c>
      <c r="J23" s="5">
        <v>2.4E-2</v>
      </c>
      <c r="K23" s="5">
        <v>2.4E-2</v>
      </c>
      <c r="L23" s="5">
        <v>2.3E-2</v>
      </c>
      <c r="M23" s="28">
        <v>2.3E-2</v>
      </c>
      <c r="O23" s="81"/>
      <c r="P23" s="81"/>
      <c r="Q23" s="81"/>
      <c r="R23" s="81"/>
      <c r="S23" s="81"/>
      <c r="T23" s="81"/>
      <c r="U23" s="81"/>
      <c r="V23" s="81"/>
      <c r="W23" s="81"/>
      <c r="X23" s="81"/>
    </row>
    <row r="24" spans="2:24" x14ac:dyDescent="0.25">
      <c r="B24" s="18" t="s">
        <v>22</v>
      </c>
      <c r="C24" s="9">
        <v>0</v>
      </c>
      <c r="D24" s="5">
        <v>0.02</v>
      </c>
      <c r="E24" s="5">
        <v>2.1000000000000001E-2</v>
      </c>
      <c r="F24" s="5">
        <v>2.1000000000000001E-2</v>
      </c>
      <c r="G24" s="5">
        <v>2.2000000000000002E-2</v>
      </c>
      <c r="H24" s="5">
        <v>2.2000000000000002E-2</v>
      </c>
      <c r="I24" s="5">
        <v>2.2000000000000002E-2</v>
      </c>
      <c r="J24" s="5">
        <v>2.1000000000000001E-2</v>
      </c>
      <c r="K24" s="5">
        <v>2.1000000000000001E-2</v>
      </c>
      <c r="L24" s="5">
        <v>2.1000000000000001E-2</v>
      </c>
      <c r="M24" s="28">
        <v>2.1000000000000001E-2</v>
      </c>
      <c r="O24" s="81"/>
      <c r="P24" s="81"/>
      <c r="Q24" s="81"/>
      <c r="R24" s="81"/>
      <c r="S24" s="81"/>
      <c r="T24" s="81"/>
      <c r="U24" s="81"/>
      <c r="V24" s="81"/>
      <c r="W24" s="81"/>
      <c r="X24" s="81"/>
    </row>
    <row r="25" spans="2:24" x14ac:dyDescent="0.25">
      <c r="B25" s="18" t="s">
        <v>38</v>
      </c>
      <c r="C25" s="14">
        <v>0</v>
      </c>
      <c r="D25" s="3">
        <f>AVERAGE(D23:D24)</f>
        <v>2.1499999999999998E-2</v>
      </c>
      <c r="E25" s="3">
        <f t="shared" ref="E25:M25" si="2">AVERAGE(E23:E24)</f>
        <v>2.1999999999999999E-2</v>
      </c>
      <c r="F25" s="3">
        <f t="shared" si="2"/>
        <v>2.2499999999999999E-2</v>
      </c>
      <c r="G25" s="3">
        <f t="shared" si="2"/>
        <v>2.3E-2</v>
      </c>
      <c r="H25" s="3">
        <f t="shared" si="2"/>
        <v>2.3E-2</v>
      </c>
      <c r="I25" s="3">
        <f t="shared" si="2"/>
        <v>2.35E-2</v>
      </c>
      <c r="J25" s="3">
        <f t="shared" si="2"/>
        <v>2.2499999999999999E-2</v>
      </c>
      <c r="K25" s="3">
        <f t="shared" si="2"/>
        <v>2.2499999999999999E-2</v>
      </c>
      <c r="L25" s="3">
        <f t="shared" si="2"/>
        <v>2.1999999999999999E-2</v>
      </c>
      <c r="M25" s="29">
        <f t="shared" si="2"/>
        <v>2.1999999999999999E-2</v>
      </c>
      <c r="O25" s="81"/>
      <c r="P25" s="81"/>
      <c r="Q25" s="81"/>
      <c r="R25" s="81"/>
      <c r="S25" s="81"/>
      <c r="T25" s="81"/>
      <c r="U25" s="81"/>
      <c r="V25" s="81"/>
      <c r="W25" s="81"/>
      <c r="X25" s="81"/>
    </row>
    <row r="26" spans="2:24" hidden="1" x14ac:dyDescent="0.25">
      <c r="B26" s="30" t="s">
        <v>21</v>
      </c>
      <c r="C26" s="31"/>
      <c r="D26" s="32"/>
      <c r="E26" s="32"/>
      <c r="F26" s="32"/>
      <c r="G26" s="32"/>
      <c r="H26" s="32"/>
      <c r="I26" s="32"/>
      <c r="J26" s="32"/>
      <c r="K26" s="32"/>
      <c r="L26" s="32"/>
      <c r="M26" s="24"/>
      <c r="O26" s="81"/>
      <c r="P26" s="81"/>
      <c r="Q26" s="81"/>
      <c r="R26" s="81"/>
      <c r="S26" s="81"/>
      <c r="T26" s="81"/>
      <c r="U26" s="81"/>
      <c r="V26" s="81"/>
      <c r="W26" s="81"/>
      <c r="X26" s="81"/>
    </row>
    <row r="27" spans="2:24" x14ac:dyDescent="0.25">
      <c r="B27" s="17"/>
      <c r="C27" s="22"/>
      <c r="D27" s="23"/>
      <c r="E27" s="23"/>
      <c r="F27" s="23"/>
      <c r="G27" s="23"/>
      <c r="H27" s="23"/>
      <c r="I27" s="23"/>
      <c r="J27" s="23"/>
      <c r="K27" s="23"/>
      <c r="L27" s="23"/>
      <c r="M27" s="24"/>
      <c r="O27" s="81"/>
      <c r="P27" s="81"/>
      <c r="Q27" s="81"/>
      <c r="R27" s="81"/>
      <c r="S27" s="81"/>
      <c r="T27" s="81"/>
      <c r="U27" s="81"/>
      <c r="V27" s="81"/>
      <c r="W27" s="81"/>
      <c r="X27" s="81"/>
    </row>
    <row r="28" spans="2:24" x14ac:dyDescent="0.25">
      <c r="B28" s="108" t="s">
        <v>81</v>
      </c>
      <c r="C28" s="109"/>
      <c r="D28" s="9" t="s">
        <v>79</v>
      </c>
      <c r="E28" s="23"/>
      <c r="F28" s="23"/>
      <c r="G28" s="23"/>
      <c r="H28" s="23"/>
      <c r="I28" s="23"/>
      <c r="J28" s="23"/>
      <c r="K28" s="23"/>
      <c r="L28" s="23"/>
      <c r="M28" s="24"/>
      <c r="O28" s="81"/>
      <c r="P28" s="81"/>
      <c r="Q28" s="81"/>
      <c r="R28" s="81"/>
      <c r="S28" s="81"/>
      <c r="T28" s="81"/>
      <c r="U28" s="81"/>
      <c r="V28" s="81"/>
      <c r="W28" s="81"/>
      <c r="X28" s="81"/>
    </row>
    <row r="29" spans="2:24" x14ac:dyDescent="0.25">
      <c r="B29" s="17"/>
      <c r="C29" s="22"/>
      <c r="D29" s="23"/>
      <c r="E29" s="23"/>
      <c r="F29" s="23"/>
      <c r="G29" s="23"/>
      <c r="H29" s="23"/>
      <c r="I29" s="23"/>
      <c r="J29" s="23"/>
      <c r="K29" s="23"/>
      <c r="L29" s="23"/>
      <c r="M29" s="24"/>
      <c r="O29" s="81"/>
      <c r="P29" s="81"/>
      <c r="Q29" s="81"/>
      <c r="R29" s="81"/>
      <c r="S29" s="81"/>
      <c r="T29" s="81"/>
      <c r="U29" s="81"/>
      <c r="V29" s="81"/>
      <c r="W29" s="81"/>
      <c r="X29" s="81"/>
    </row>
    <row r="30" spans="2:24" hidden="1" x14ac:dyDescent="0.25">
      <c r="B30" s="17"/>
      <c r="C30" s="33">
        <v>2024</v>
      </c>
      <c r="D30" s="15">
        <v>2025</v>
      </c>
      <c r="E30" s="15">
        <v>2026</v>
      </c>
      <c r="F30" s="15">
        <v>2027</v>
      </c>
      <c r="G30" s="15">
        <v>2028</v>
      </c>
      <c r="H30" s="15">
        <v>2029</v>
      </c>
      <c r="I30" s="15">
        <v>2030</v>
      </c>
      <c r="J30" s="15">
        <v>2031</v>
      </c>
      <c r="K30" s="15">
        <v>2032</v>
      </c>
      <c r="L30" s="15">
        <v>2033</v>
      </c>
      <c r="M30" s="16">
        <v>2034</v>
      </c>
      <c r="O30" s="81"/>
      <c r="P30" s="81"/>
      <c r="Q30" s="81"/>
      <c r="R30" s="81"/>
      <c r="S30" s="81"/>
      <c r="T30" s="81"/>
      <c r="U30" s="81"/>
      <c r="V30" s="81"/>
      <c r="W30" s="81"/>
      <c r="X30" s="81"/>
    </row>
    <row r="31" spans="2:24" hidden="1" x14ac:dyDescent="0.25">
      <c r="B31" s="17" t="s">
        <v>0</v>
      </c>
      <c r="C31" s="22"/>
      <c r="D31" s="23"/>
      <c r="E31" s="23"/>
      <c r="F31" s="23"/>
      <c r="G31" s="23"/>
      <c r="H31" s="23"/>
      <c r="I31" s="23"/>
      <c r="J31" s="23"/>
      <c r="K31" s="23"/>
      <c r="L31" s="23"/>
      <c r="M31" s="24"/>
      <c r="O31" s="81"/>
      <c r="P31" s="81"/>
      <c r="Q31" s="81"/>
      <c r="R31" s="81"/>
      <c r="S31" s="81"/>
      <c r="T31" s="81"/>
      <c r="U31" s="81"/>
      <c r="V31" s="81"/>
      <c r="W31" s="81"/>
      <c r="X31" s="81"/>
    </row>
    <row r="32" spans="2:24" hidden="1" x14ac:dyDescent="0.25">
      <c r="B32" s="17" t="s">
        <v>1</v>
      </c>
      <c r="C32" s="22">
        <v>1395342.0442259996</v>
      </c>
      <c r="D32" s="27">
        <f t="shared" ref="D32:M32" si="3">C32*(1+D12)</f>
        <v>1423248.8851105196</v>
      </c>
      <c r="E32" s="27">
        <f t="shared" si="3"/>
        <v>1451713.86281273</v>
      </c>
      <c r="F32" s="27">
        <f t="shared" si="3"/>
        <v>1480748.1400689846</v>
      </c>
      <c r="G32" s="27">
        <f t="shared" si="3"/>
        <v>1510363.1028703642</v>
      </c>
      <c r="H32" s="27">
        <f t="shared" si="3"/>
        <v>1540570.3649277715</v>
      </c>
      <c r="I32" s="27">
        <f t="shared" si="3"/>
        <v>1571381.7722263269</v>
      </c>
      <c r="J32" s="27">
        <f t="shared" si="3"/>
        <v>1602809.4076708534</v>
      </c>
      <c r="K32" s="27">
        <f t="shared" si="3"/>
        <v>1634865.5958242705</v>
      </c>
      <c r="L32" s="27">
        <f t="shared" si="3"/>
        <v>1667562.9077407559</v>
      </c>
      <c r="M32" s="34">
        <f t="shared" si="3"/>
        <v>1700914.165895571</v>
      </c>
      <c r="O32" s="81"/>
      <c r="P32" s="81"/>
      <c r="Q32" s="81"/>
      <c r="R32" s="81"/>
      <c r="S32" s="81"/>
      <c r="T32" s="81"/>
      <c r="U32" s="81"/>
      <c r="V32" s="81"/>
      <c r="W32" s="81"/>
      <c r="X32" s="81"/>
    </row>
    <row r="33" spans="2:24" hidden="1" x14ac:dyDescent="0.25">
      <c r="B33" s="17" t="s">
        <v>2</v>
      </c>
      <c r="C33" s="22">
        <v>1086256.5379945345</v>
      </c>
      <c r="D33" s="27">
        <f t="shared" ref="D33:M33" si="4">C33*(1+D13)</f>
        <v>1107981.6687544251</v>
      </c>
      <c r="E33" s="27">
        <f t="shared" si="4"/>
        <v>1130141.3021295136</v>
      </c>
      <c r="F33" s="27">
        <f t="shared" si="4"/>
        <v>1152744.1281721038</v>
      </c>
      <c r="G33" s="27">
        <f t="shared" si="4"/>
        <v>1175799.0107355458</v>
      </c>
      <c r="H33" s="27">
        <f t="shared" si="4"/>
        <v>1199314.9909502568</v>
      </c>
      <c r="I33" s="27">
        <f t="shared" si="4"/>
        <v>1223301.290769262</v>
      </c>
      <c r="J33" s="27">
        <f t="shared" si="4"/>
        <v>1247767.3165846472</v>
      </c>
      <c r="K33" s="27">
        <f t="shared" si="4"/>
        <v>1272722.6629163402</v>
      </c>
      <c r="L33" s="27">
        <f t="shared" si="4"/>
        <v>1298177.1161746669</v>
      </c>
      <c r="M33" s="34">
        <f t="shared" si="4"/>
        <v>1324140.6584981603</v>
      </c>
      <c r="O33" s="81"/>
      <c r="P33" s="81"/>
      <c r="Q33" s="81"/>
      <c r="R33" s="81"/>
      <c r="S33" s="81"/>
      <c r="T33" s="81"/>
      <c r="U33" s="81"/>
      <c r="V33" s="81"/>
      <c r="W33" s="81"/>
      <c r="X33" s="81"/>
    </row>
    <row r="34" spans="2:24" hidden="1" x14ac:dyDescent="0.25">
      <c r="B34" s="17" t="s">
        <v>3</v>
      </c>
      <c r="C34" s="22">
        <v>592667.44919308496</v>
      </c>
      <c r="D34" s="27">
        <f t="shared" ref="D34:M34" si="5">C34*(1+D14)</f>
        <v>604520.7981769467</v>
      </c>
      <c r="E34" s="27">
        <f t="shared" si="5"/>
        <v>613588.61014960089</v>
      </c>
      <c r="F34" s="27">
        <f t="shared" si="5"/>
        <v>625860.38235259289</v>
      </c>
      <c r="G34" s="27">
        <f t="shared" si="5"/>
        <v>635248.28808788175</v>
      </c>
      <c r="H34" s="27">
        <f t="shared" si="5"/>
        <v>647953.25384963944</v>
      </c>
      <c r="I34" s="27">
        <f t="shared" si="5"/>
        <v>657672.55265738396</v>
      </c>
      <c r="J34" s="27">
        <f t="shared" si="5"/>
        <v>667537.64094724471</v>
      </c>
      <c r="K34" s="27">
        <f t="shared" si="5"/>
        <v>677550.70556145336</v>
      </c>
      <c r="L34" s="27">
        <f t="shared" si="5"/>
        <v>687713.96614487504</v>
      </c>
      <c r="M34" s="34">
        <f t="shared" si="5"/>
        <v>698029.67563704809</v>
      </c>
      <c r="O34" s="81"/>
      <c r="P34" s="81"/>
      <c r="Q34" s="81"/>
      <c r="R34" s="81"/>
      <c r="S34" s="81"/>
      <c r="T34" s="81"/>
      <c r="U34" s="81"/>
      <c r="V34" s="81"/>
      <c r="W34" s="81"/>
      <c r="X34" s="81"/>
    </row>
    <row r="35" spans="2:24" hidden="1" x14ac:dyDescent="0.25">
      <c r="B35" s="17" t="s">
        <v>4</v>
      </c>
      <c r="C35" s="22">
        <v>3280077.4782774821</v>
      </c>
      <c r="D35" s="27">
        <f t="shared" ref="D35:M35" si="6">C35*(1+D15)</f>
        <v>3329278.6404516441</v>
      </c>
      <c r="E35" s="27">
        <f t="shared" si="6"/>
        <v>3395864.2132606772</v>
      </c>
      <c r="F35" s="27">
        <f t="shared" si="6"/>
        <v>3446802.1764595872</v>
      </c>
      <c r="G35" s="27">
        <f t="shared" si="6"/>
        <v>3515738.2199887792</v>
      </c>
      <c r="H35" s="27">
        <f t="shared" si="6"/>
        <v>3568474.2932886104</v>
      </c>
      <c r="I35" s="27">
        <f t="shared" si="6"/>
        <v>3639843.7791543826</v>
      </c>
      <c r="J35" s="27">
        <f t="shared" si="6"/>
        <v>3712640.6547374702</v>
      </c>
      <c r="K35" s="27">
        <f t="shared" si="6"/>
        <v>3786893.4678322198</v>
      </c>
      <c r="L35" s="27">
        <f t="shared" si="6"/>
        <v>3862631.3371888641</v>
      </c>
      <c r="M35" s="34">
        <f t="shared" si="6"/>
        <v>3939883.9639326413</v>
      </c>
      <c r="O35" s="81"/>
      <c r="P35" s="81"/>
      <c r="Q35" s="81"/>
      <c r="R35" s="81"/>
      <c r="S35" s="81"/>
      <c r="T35" s="81"/>
      <c r="U35" s="81"/>
      <c r="V35" s="81"/>
      <c r="W35" s="81"/>
      <c r="X35" s="81"/>
    </row>
    <row r="36" spans="2:24" hidden="1" x14ac:dyDescent="0.25">
      <c r="B36" s="17" t="s">
        <v>5</v>
      </c>
      <c r="C36" s="22">
        <v>3745055.6965486086</v>
      </c>
      <c r="D36" s="27">
        <f t="shared" ref="D36:M36" si="7">C36*(1+D16)</f>
        <v>3819956.8104795809</v>
      </c>
      <c r="E36" s="27">
        <f t="shared" si="7"/>
        <v>3896355.9466891726</v>
      </c>
      <c r="F36" s="27">
        <f t="shared" si="7"/>
        <v>3974283.065622956</v>
      </c>
      <c r="G36" s="27">
        <f t="shared" si="7"/>
        <v>4053768.7269354151</v>
      </c>
      <c r="H36" s="27">
        <f t="shared" si="7"/>
        <v>4134844.1014741235</v>
      </c>
      <c r="I36" s="27">
        <f t="shared" si="7"/>
        <v>4217540.9835036062</v>
      </c>
      <c r="J36" s="27">
        <f t="shared" si="7"/>
        <v>4301891.803173678</v>
      </c>
      <c r="K36" s="27">
        <f t="shared" si="7"/>
        <v>4387929.6392371515</v>
      </c>
      <c r="L36" s="27">
        <f t="shared" si="7"/>
        <v>4475688.2320218943</v>
      </c>
      <c r="M36" s="34">
        <f t="shared" si="7"/>
        <v>4565201.9966623327</v>
      </c>
      <c r="O36" s="81"/>
      <c r="P36" s="81"/>
      <c r="Q36" s="81"/>
      <c r="R36" s="81"/>
      <c r="S36" s="81"/>
      <c r="T36" s="81"/>
      <c r="U36" s="81"/>
      <c r="V36" s="81"/>
      <c r="W36" s="81"/>
      <c r="X36" s="81"/>
    </row>
    <row r="37" spans="2:24" hidden="1" x14ac:dyDescent="0.25">
      <c r="B37" s="17" t="s">
        <v>6</v>
      </c>
      <c r="C37" s="22">
        <f>147469+570396</f>
        <v>717865</v>
      </c>
      <c r="D37" s="27">
        <f t="shared" ref="D37:M37" si="8">C37*(1+D17)</f>
        <v>717865</v>
      </c>
      <c r="E37" s="27">
        <f t="shared" si="8"/>
        <v>717865</v>
      </c>
      <c r="F37" s="27">
        <f t="shared" si="8"/>
        <v>717865</v>
      </c>
      <c r="G37" s="27">
        <f t="shared" si="8"/>
        <v>717865</v>
      </c>
      <c r="H37" s="27">
        <f t="shared" si="8"/>
        <v>717865</v>
      </c>
      <c r="I37" s="27">
        <f t="shared" si="8"/>
        <v>717865</v>
      </c>
      <c r="J37" s="27">
        <f t="shared" si="8"/>
        <v>717865</v>
      </c>
      <c r="K37" s="27">
        <f t="shared" si="8"/>
        <v>717865</v>
      </c>
      <c r="L37" s="27">
        <f t="shared" si="8"/>
        <v>717865</v>
      </c>
      <c r="M37" s="34">
        <f t="shared" si="8"/>
        <v>717865</v>
      </c>
      <c r="O37" s="81"/>
      <c r="P37" s="81"/>
      <c r="Q37" s="81"/>
      <c r="R37" s="81"/>
      <c r="S37" s="81"/>
      <c r="T37" s="81"/>
      <c r="U37" s="81"/>
      <c r="V37" s="81"/>
      <c r="W37" s="81"/>
      <c r="X37" s="81"/>
    </row>
    <row r="38" spans="2:24" hidden="1" x14ac:dyDescent="0.25">
      <c r="B38" s="17" t="s">
        <v>7</v>
      </c>
      <c r="C38" s="22"/>
      <c r="D38" s="27"/>
      <c r="E38" s="27"/>
      <c r="F38" s="27"/>
      <c r="G38" s="27"/>
      <c r="H38" s="27"/>
      <c r="I38" s="27"/>
      <c r="J38" s="27"/>
      <c r="K38" s="27"/>
      <c r="L38" s="27"/>
      <c r="M38" s="34"/>
      <c r="O38" s="81"/>
      <c r="P38" s="81"/>
      <c r="Q38" s="81"/>
      <c r="R38" s="81"/>
      <c r="S38" s="81"/>
      <c r="T38" s="81"/>
      <c r="U38" s="81"/>
      <c r="V38" s="81"/>
      <c r="W38" s="81"/>
      <c r="X38" s="81"/>
    </row>
    <row r="39" spans="2:24" hidden="1" x14ac:dyDescent="0.25">
      <c r="B39" s="17" t="s">
        <v>1</v>
      </c>
      <c r="C39" s="22">
        <v>827485.04240999988</v>
      </c>
      <c r="D39" s="27">
        <f t="shared" ref="D39:M39" si="9">C39*(1+D12)</f>
        <v>844034.74325819989</v>
      </c>
      <c r="E39" s="27">
        <f t="shared" si="9"/>
        <v>860915.43812336389</v>
      </c>
      <c r="F39" s="27">
        <f t="shared" si="9"/>
        <v>878133.74688583123</v>
      </c>
      <c r="G39" s="27">
        <f t="shared" si="9"/>
        <v>895696.42182354792</v>
      </c>
      <c r="H39" s="27">
        <f t="shared" si="9"/>
        <v>913610.35026001884</v>
      </c>
      <c r="I39" s="27">
        <f t="shared" si="9"/>
        <v>931882.55726521928</v>
      </c>
      <c r="J39" s="27">
        <f t="shared" si="9"/>
        <v>950520.20841052372</v>
      </c>
      <c r="K39" s="27">
        <f t="shared" si="9"/>
        <v>969530.61257873417</v>
      </c>
      <c r="L39" s="27">
        <f t="shared" si="9"/>
        <v>988921.22483030893</v>
      </c>
      <c r="M39" s="34">
        <f t="shared" si="9"/>
        <v>1008699.6493269152</v>
      </c>
      <c r="O39" s="81"/>
      <c r="P39" s="81"/>
      <c r="Q39" s="81"/>
      <c r="R39" s="81"/>
      <c r="S39" s="81"/>
      <c r="T39" s="81"/>
      <c r="U39" s="81"/>
      <c r="V39" s="81"/>
      <c r="W39" s="81"/>
      <c r="X39" s="81"/>
    </row>
    <row r="40" spans="2:24" hidden="1" x14ac:dyDescent="0.25">
      <c r="B40" s="17" t="s">
        <v>2</v>
      </c>
      <c r="C40" s="22">
        <v>237153.8024803584</v>
      </c>
      <c r="D40" s="27">
        <f t="shared" ref="D40:M40" si="10">C40*(1+D13)</f>
        <v>241896.87852996556</v>
      </c>
      <c r="E40" s="27">
        <f t="shared" si="10"/>
        <v>246734.81610056487</v>
      </c>
      <c r="F40" s="27">
        <f t="shared" si="10"/>
        <v>251669.51242257617</v>
      </c>
      <c r="G40" s="27">
        <f t="shared" si="10"/>
        <v>256702.9026710277</v>
      </c>
      <c r="H40" s="27">
        <f t="shared" si="10"/>
        <v>261836.96072444826</v>
      </c>
      <c r="I40" s="27">
        <f t="shared" si="10"/>
        <v>267073.69993893721</v>
      </c>
      <c r="J40" s="27">
        <f t="shared" si="10"/>
        <v>272415.17393771594</v>
      </c>
      <c r="K40" s="27">
        <f t="shared" si="10"/>
        <v>277863.47741647024</v>
      </c>
      <c r="L40" s="27">
        <f t="shared" si="10"/>
        <v>283420.74696479965</v>
      </c>
      <c r="M40" s="34">
        <f t="shared" si="10"/>
        <v>289089.16190409567</v>
      </c>
      <c r="O40" s="81"/>
      <c r="P40" s="81"/>
      <c r="Q40" s="81"/>
      <c r="R40" s="81"/>
      <c r="S40" s="81"/>
      <c r="T40" s="81"/>
      <c r="U40" s="81"/>
      <c r="V40" s="81"/>
      <c r="W40" s="81"/>
      <c r="X40" s="81"/>
    </row>
    <row r="41" spans="2:24" hidden="1" x14ac:dyDescent="0.25">
      <c r="B41" s="17" t="s">
        <v>3</v>
      </c>
      <c r="C41" s="22">
        <v>114649.76481776997</v>
      </c>
      <c r="D41" s="27">
        <f t="shared" ref="D41:M41" si="11">C41*(1+D14)</f>
        <v>116942.76011412537</v>
      </c>
      <c r="E41" s="27">
        <f t="shared" si="11"/>
        <v>118696.90151583723</v>
      </c>
      <c r="F41" s="27">
        <f t="shared" si="11"/>
        <v>121070.83954615398</v>
      </c>
      <c r="G41" s="27">
        <f t="shared" si="11"/>
        <v>122886.90213934628</v>
      </c>
      <c r="H41" s="27">
        <f t="shared" si="11"/>
        <v>125344.6401821332</v>
      </c>
      <c r="I41" s="27">
        <f t="shared" si="11"/>
        <v>127224.80978486518</v>
      </c>
      <c r="J41" s="27">
        <f t="shared" si="11"/>
        <v>129133.18193163814</v>
      </c>
      <c r="K41" s="27">
        <f t="shared" si="11"/>
        <v>131070.1796606127</v>
      </c>
      <c r="L41" s="27">
        <f t="shared" si="11"/>
        <v>133036.23235552188</v>
      </c>
      <c r="M41" s="34">
        <f t="shared" si="11"/>
        <v>135031.77584085468</v>
      </c>
      <c r="O41" s="81"/>
      <c r="P41" s="81"/>
      <c r="Q41" s="81"/>
      <c r="R41" s="81"/>
      <c r="S41" s="81"/>
      <c r="T41" s="81"/>
      <c r="U41" s="81"/>
      <c r="V41" s="81"/>
      <c r="W41" s="81"/>
      <c r="X41" s="81"/>
    </row>
    <row r="42" spans="2:24" hidden="1" x14ac:dyDescent="0.25">
      <c r="B42" s="17" t="s">
        <v>8</v>
      </c>
      <c r="C42" s="22"/>
      <c r="D42" s="27"/>
      <c r="E42" s="27"/>
      <c r="F42" s="27"/>
      <c r="G42" s="27"/>
      <c r="H42" s="27"/>
      <c r="I42" s="27"/>
      <c r="J42" s="27"/>
      <c r="K42" s="27"/>
      <c r="L42" s="27"/>
      <c r="M42" s="34"/>
      <c r="O42" s="81"/>
      <c r="P42" s="81"/>
      <c r="Q42" s="81"/>
      <c r="R42" s="81"/>
      <c r="S42" s="81"/>
      <c r="T42" s="81"/>
      <c r="U42" s="81"/>
      <c r="V42" s="81"/>
      <c r="W42" s="81"/>
      <c r="X42" s="81"/>
    </row>
    <row r="43" spans="2:24" hidden="1" x14ac:dyDescent="0.25">
      <c r="B43" s="17" t="s">
        <v>1</v>
      </c>
      <c r="C43" s="22">
        <v>630942.43836000003</v>
      </c>
      <c r="D43" s="27">
        <f t="shared" ref="D43:M43" si="12">C43*(1+D12)</f>
        <v>643561.28712720005</v>
      </c>
      <c r="E43" s="27">
        <f t="shared" si="12"/>
        <v>656432.5128697441</v>
      </c>
      <c r="F43" s="27">
        <f t="shared" si="12"/>
        <v>669561.16312713898</v>
      </c>
      <c r="G43" s="27">
        <f t="shared" si="12"/>
        <v>682952.38638968172</v>
      </c>
      <c r="H43" s="27">
        <f t="shared" si="12"/>
        <v>696611.43411747541</v>
      </c>
      <c r="I43" s="27">
        <f t="shared" si="12"/>
        <v>710543.66279982496</v>
      </c>
      <c r="J43" s="27">
        <f t="shared" si="12"/>
        <v>724754.53605582146</v>
      </c>
      <c r="K43" s="27">
        <f t="shared" si="12"/>
        <v>739249.62677693786</v>
      </c>
      <c r="L43" s="27">
        <f t="shared" si="12"/>
        <v>754034.6193124766</v>
      </c>
      <c r="M43" s="34">
        <f t="shared" si="12"/>
        <v>769115.31169872615</v>
      </c>
      <c r="O43" s="81"/>
      <c r="P43" s="81"/>
      <c r="Q43" s="81"/>
      <c r="R43" s="81"/>
      <c r="S43" s="81"/>
      <c r="T43" s="81"/>
      <c r="U43" s="81"/>
      <c r="V43" s="81"/>
      <c r="W43" s="81"/>
      <c r="X43" s="81"/>
    </row>
    <row r="44" spans="2:24" hidden="1" x14ac:dyDescent="0.25">
      <c r="B44" s="17" t="s">
        <v>2</v>
      </c>
      <c r="C44" s="22">
        <v>316378.00556144642</v>
      </c>
      <c r="D44" s="27">
        <f t="shared" ref="D44:M44" si="13">C44*(1+D13)</f>
        <v>322705.56567267538</v>
      </c>
      <c r="E44" s="27">
        <f t="shared" si="13"/>
        <v>329159.67698612891</v>
      </c>
      <c r="F44" s="27">
        <f t="shared" si="13"/>
        <v>335742.8705258515</v>
      </c>
      <c r="G44" s="27">
        <f t="shared" si="13"/>
        <v>342457.72793636855</v>
      </c>
      <c r="H44" s="27">
        <f t="shared" si="13"/>
        <v>349306.88249509595</v>
      </c>
      <c r="I44" s="27">
        <f t="shared" si="13"/>
        <v>356293.02014499786</v>
      </c>
      <c r="J44" s="27">
        <f t="shared" si="13"/>
        <v>363418.88054789783</v>
      </c>
      <c r="K44" s="27">
        <f t="shared" si="13"/>
        <v>370687.25815885578</v>
      </c>
      <c r="L44" s="27">
        <f t="shared" si="13"/>
        <v>378101.00332203292</v>
      </c>
      <c r="M44" s="34">
        <f t="shared" si="13"/>
        <v>385663.02338847361</v>
      </c>
      <c r="O44" s="81"/>
      <c r="P44" s="81"/>
      <c r="Q44" s="81"/>
      <c r="R44" s="81"/>
      <c r="S44" s="81"/>
      <c r="T44" s="81"/>
      <c r="U44" s="81"/>
      <c r="V44" s="81"/>
      <c r="W44" s="81"/>
      <c r="X44" s="81"/>
    </row>
    <row r="45" spans="2:24" hidden="1" x14ac:dyDescent="0.25">
      <c r="B45" s="17" t="s">
        <v>3</v>
      </c>
      <c r="C45" s="22">
        <v>103991.37984028498</v>
      </c>
      <c r="D45" s="27">
        <f t="shared" ref="D45:M45" si="14">C45*(1+D14)</f>
        <v>106071.20743709068</v>
      </c>
      <c r="E45" s="27">
        <f t="shared" si="14"/>
        <v>107662.27554864703</v>
      </c>
      <c r="F45" s="27">
        <f t="shared" si="14"/>
        <v>109815.52105961998</v>
      </c>
      <c r="G45" s="27">
        <f t="shared" si="14"/>
        <v>111462.75387551426</v>
      </c>
      <c r="H45" s="27">
        <f t="shared" si="14"/>
        <v>113692.00895302455</v>
      </c>
      <c r="I45" s="27">
        <f t="shared" si="14"/>
        <v>115397.3890873199</v>
      </c>
      <c r="J45" s="27">
        <f t="shared" si="14"/>
        <v>117128.34992362969</v>
      </c>
      <c r="K45" s="27">
        <f t="shared" si="14"/>
        <v>118885.27517248412</v>
      </c>
      <c r="L45" s="27">
        <f t="shared" si="14"/>
        <v>120668.55430007137</v>
      </c>
      <c r="M45" s="34">
        <f t="shared" si="14"/>
        <v>122478.58261457243</v>
      </c>
      <c r="O45" s="81"/>
      <c r="P45" s="81"/>
      <c r="Q45" s="81"/>
      <c r="R45" s="81"/>
      <c r="S45" s="81"/>
      <c r="T45" s="81"/>
      <c r="U45" s="81"/>
      <c r="V45" s="81"/>
      <c r="W45" s="81"/>
      <c r="X45" s="81"/>
    </row>
    <row r="46" spans="2:24" hidden="1" x14ac:dyDescent="0.25">
      <c r="B46" s="17"/>
      <c r="C46" s="22"/>
      <c r="D46" s="23"/>
      <c r="E46" s="23"/>
      <c r="F46" s="23"/>
      <c r="G46" s="23"/>
      <c r="H46" s="23"/>
      <c r="I46" s="23"/>
      <c r="J46" s="23"/>
      <c r="K46" s="23"/>
      <c r="L46" s="23"/>
      <c r="M46" s="24"/>
      <c r="O46" s="81"/>
      <c r="P46" s="81"/>
      <c r="Q46" s="81"/>
      <c r="R46" s="81"/>
      <c r="S46" s="81"/>
      <c r="T46" s="81"/>
      <c r="U46" s="81"/>
      <c r="V46" s="81"/>
      <c r="W46" s="81"/>
      <c r="X46" s="81"/>
    </row>
    <row r="47" spans="2:24" hidden="1" x14ac:dyDescent="0.25">
      <c r="B47" s="17" t="s">
        <v>23</v>
      </c>
      <c r="C47" s="33">
        <f>SUM(C32:C45)</f>
        <v>13047864.63970957</v>
      </c>
      <c r="D47" s="35">
        <f t="shared" ref="D47:M47" si="15">SUM(D32:D45)</f>
        <v>13278064.245112374</v>
      </c>
      <c r="E47" s="35">
        <f t="shared" si="15"/>
        <v>13525130.556185981</v>
      </c>
      <c r="F47" s="35">
        <f t="shared" si="15"/>
        <v>13764296.546243396</v>
      </c>
      <c r="G47" s="35">
        <f t="shared" si="15"/>
        <v>14020941.443453474</v>
      </c>
      <c r="H47" s="35">
        <f t="shared" si="15"/>
        <v>14269424.281222599</v>
      </c>
      <c r="I47" s="35">
        <f t="shared" si="15"/>
        <v>14536020.517332127</v>
      </c>
      <c r="J47" s="35">
        <f t="shared" si="15"/>
        <v>14807882.153921118</v>
      </c>
      <c r="K47" s="35">
        <f t="shared" si="15"/>
        <v>15085113.501135532</v>
      </c>
      <c r="L47" s="35">
        <f t="shared" si="15"/>
        <v>15367820.940356268</v>
      </c>
      <c r="M47" s="36">
        <f t="shared" si="15"/>
        <v>15656112.965399388</v>
      </c>
      <c r="O47" s="81"/>
      <c r="P47" s="81"/>
      <c r="Q47" s="81"/>
      <c r="R47" s="81"/>
      <c r="S47" s="81"/>
      <c r="T47" s="81"/>
      <c r="U47" s="81"/>
      <c r="V47" s="81"/>
      <c r="W47" s="81"/>
      <c r="X47" s="81"/>
    </row>
    <row r="48" spans="2:24" hidden="1" x14ac:dyDescent="0.25">
      <c r="B48" s="17" t="s">
        <v>24</v>
      </c>
      <c r="C48" s="33"/>
      <c r="D48" s="37">
        <f>(D47-C47)/C47</f>
        <v>1.7642703366359331E-2</v>
      </c>
      <c r="E48" s="37">
        <f t="shared" ref="E48:M48" si="16">(E47-D47)/D47</f>
        <v>1.8607103152445688E-2</v>
      </c>
      <c r="F48" s="37">
        <f t="shared" si="16"/>
        <v>1.768308180567079E-2</v>
      </c>
      <c r="G48" s="37">
        <f t="shared" si="16"/>
        <v>1.8645696592472998E-2</v>
      </c>
      <c r="H48" s="37">
        <f t="shared" si="16"/>
        <v>1.7722264854414888E-2</v>
      </c>
      <c r="I48" s="37">
        <f t="shared" si="16"/>
        <v>1.8683040804971202E-2</v>
      </c>
      <c r="J48" s="37">
        <f t="shared" si="16"/>
        <v>1.8702617835798629E-2</v>
      </c>
      <c r="K48" s="37">
        <f t="shared" si="16"/>
        <v>1.8721876925594193E-2</v>
      </c>
      <c r="L48" s="37">
        <f t="shared" si="16"/>
        <v>1.8740822811804166E-2</v>
      </c>
      <c r="M48" s="38">
        <f t="shared" si="16"/>
        <v>1.8759460183848109E-2</v>
      </c>
      <c r="O48" s="81"/>
      <c r="P48" s="81"/>
      <c r="Q48" s="81"/>
      <c r="R48" s="81"/>
      <c r="S48" s="81"/>
      <c r="T48" s="81"/>
      <c r="U48" s="81"/>
      <c r="V48" s="81"/>
      <c r="W48" s="81"/>
      <c r="X48" s="81"/>
    </row>
    <row r="49" spans="2:24" hidden="1" x14ac:dyDescent="0.25">
      <c r="B49" s="17"/>
      <c r="C49" s="22"/>
      <c r="D49" s="23"/>
      <c r="E49" s="23"/>
      <c r="F49" s="23"/>
      <c r="G49" s="23"/>
      <c r="H49" s="23"/>
      <c r="I49" s="23"/>
      <c r="J49" s="23"/>
      <c r="K49" s="23"/>
      <c r="L49" s="23"/>
      <c r="M49" s="24"/>
      <c r="O49" s="81"/>
      <c r="P49" s="81"/>
      <c r="Q49" s="81"/>
      <c r="R49" s="81"/>
      <c r="S49" s="81"/>
      <c r="T49" s="81"/>
      <c r="U49" s="81"/>
      <c r="V49" s="81"/>
      <c r="W49" s="81"/>
      <c r="X49" s="81"/>
    </row>
    <row r="50" spans="2:24" hidden="1" x14ac:dyDescent="0.25">
      <c r="B50" s="17" t="s">
        <v>10</v>
      </c>
      <c r="C50" s="22"/>
      <c r="D50" s="23"/>
      <c r="E50" s="23"/>
      <c r="F50" s="23"/>
      <c r="G50" s="23"/>
      <c r="H50" s="23"/>
      <c r="I50" s="23"/>
      <c r="J50" s="23"/>
      <c r="K50" s="23"/>
      <c r="L50" s="23"/>
      <c r="M50" s="24"/>
      <c r="O50" s="81"/>
      <c r="P50" s="81"/>
      <c r="Q50" s="81"/>
      <c r="R50" s="81"/>
      <c r="S50" s="81"/>
      <c r="T50" s="81"/>
      <c r="U50" s="81"/>
      <c r="V50" s="81"/>
      <c r="W50" s="81"/>
      <c r="X50" s="81"/>
    </row>
    <row r="51" spans="2:24" hidden="1" x14ac:dyDescent="0.25">
      <c r="B51" s="17" t="s">
        <v>11</v>
      </c>
      <c r="C51" s="22">
        <f>13095170-C32-C33-C34-C35-C36-C37</f>
        <v>2277905.7937602908</v>
      </c>
      <c r="D51" s="27">
        <f>C51*(1+D48)</f>
        <v>2318094.2099761148</v>
      </c>
      <c r="E51" s="27">
        <f t="shared" ref="E51:M51" si="17">D51*(1+E48)</f>
        <v>2361227.2280582278</v>
      </c>
      <c r="F51" s="27">
        <f t="shared" si="17"/>
        <v>2402981.0022937586</v>
      </c>
      <c r="G51" s="27">
        <f t="shared" si="17"/>
        <v>2447786.2569800047</v>
      </c>
      <c r="H51" s="27">
        <f t="shared" si="17"/>
        <v>2491166.573333201</v>
      </c>
      <c r="I51" s="27">
        <f t="shared" si="17"/>
        <v>2537709.1400747653</v>
      </c>
      <c r="J51" s="27">
        <f t="shared" si="17"/>
        <v>2585170.9442999973</v>
      </c>
      <c r="K51" s="27">
        <f t="shared" si="17"/>
        <v>2633570.1965508037</v>
      </c>
      <c r="L51" s="27">
        <f t="shared" si="17"/>
        <v>2682925.468966811</v>
      </c>
      <c r="M51" s="34">
        <f t="shared" si="17"/>
        <v>2733255.7024781257</v>
      </c>
      <c r="O51" s="81"/>
      <c r="P51" s="81"/>
      <c r="Q51" s="81"/>
      <c r="R51" s="81"/>
      <c r="S51" s="81"/>
      <c r="T51" s="81"/>
      <c r="U51" s="81"/>
      <c r="V51" s="81"/>
      <c r="W51" s="81"/>
      <c r="X51" s="81"/>
    </row>
    <row r="52" spans="2:24" hidden="1" x14ac:dyDescent="0.25">
      <c r="B52" s="17" t="s">
        <v>12</v>
      </c>
      <c r="C52" s="22">
        <f>1352313-C39-C40-C41</f>
        <v>173024.39029187174</v>
      </c>
      <c r="D52" s="27">
        <f>C52*(1+D48)</f>
        <v>176077.0082849364</v>
      </c>
      <c r="E52" s="27">
        <f t="shared" ref="E52:M52" si="18">D52*(1+E48)</f>
        <v>179353.29134086825</v>
      </c>
      <c r="F52" s="27">
        <f t="shared" si="18"/>
        <v>182524.81026376513</v>
      </c>
      <c r="G52" s="27">
        <f t="shared" si="18"/>
        <v>185928.11249654202</v>
      </c>
      <c r="H52" s="27">
        <f t="shared" si="18"/>
        <v>189223.17975008718</v>
      </c>
      <c r="I52" s="27">
        <f t="shared" si="18"/>
        <v>192758.44413860445</v>
      </c>
      <c r="J52" s="27">
        <f t="shared" si="18"/>
        <v>196363.53165395194</v>
      </c>
      <c r="K52" s="27">
        <f t="shared" si="18"/>
        <v>200039.82552625224</v>
      </c>
      <c r="L52" s="27">
        <f t="shared" si="18"/>
        <v>203788.73645174396</v>
      </c>
      <c r="M52" s="34">
        <f t="shared" si="18"/>
        <v>207611.70313912717</v>
      </c>
      <c r="O52" s="81"/>
      <c r="P52" s="81"/>
      <c r="Q52" s="81"/>
      <c r="R52" s="81"/>
      <c r="S52" s="81"/>
      <c r="T52" s="81"/>
      <c r="U52" s="81"/>
      <c r="V52" s="81"/>
      <c r="W52" s="81"/>
      <c r="X52" s="81"/>
    </row>
    <row r="53" spans="2:24" hidden="1" x14ac:dyDescent="0.25">
      <c r="B53" s="17" t="s">
        <v>13</v>
      </c>
      <c r="C53" s="22">
        <f>1158362-C43-C44-C45</f>
        <v>107050.17623826857</v>
      </c>
      <c r="D53" s="27">
        <f>C53*(1+D48)</f>
        <v>108938.83074295682</v>
      </c>
      <c r="E53" s="27">
        <f t="shared" ref="E53:M53" si="19">D53*(1+E48)</f>
        <v>110965.86680389785</v>
      </c>
      <c r="F53" s="27">
        <f t="shared" si="19"/>
        <v>112928.08530422834</v>
      </c>
      <c r="G53" s="27">
        <f t="shared" si="19"/>
        <v>115033.7081195799</v>
      </c>
      <c r="H53" s="27">
        <f t="shared" si="19"/>
        <v>117072.36596206055</v>
      </c>
      <c r="I53" s="27">
        <f t="shared" si="19"/>
        <v>119259.63375246424</v>
      </c>
      <c r="J53" s="27">
        <f t="shared" si="19"/>
        <v>121490.10110577391</v>
      </c>
      <c r="K53" s="27">
        <f t="shared" si="19"/>
        <v>123764.62382635419</v>
      </c>
      <c r="L53" s="27">
        <f t="shared" si="19"/>
        <v>126084.07471185349</v>
      </c>
      <c r="M53" s="34">
        <f t="shared" si="19"/>
        <v>128449.34389122784</v>
      </c>
      <c r="O53" s="81"/>
      <c r="P53" s="81"/>
      <c r="Q53" s="81"/>
      <c r="R53" s="81"/>
      <c r="S53" s="81"/>
      <c r="T53" s="81"/>
      <c r="U53" s="81"/>
      <c r="V53" s="81"/>
      <c r="W53" s="81"/>
      <c r="X53" s="81"/>
    </row>
    <row r="54" spans="2:24" hidden="1" x14ac:dyDescent="0.25">
      <c r="B54" s="17"/>
      <c r="C54" s="22"/>
      <c r="D54" s="23"/>
      <c r="E54" s="23"/>
      <c r="F54" s="23"/>
      <c r="G54" s="23"/>
      <c r="H54" s="23"/>
      <c r="I54" s="23"/>
      <c r="J54" s="23"/>
      <c r="K54" s="23"/>
      <c r="L54" s="23"/>
      <c r="M54" s="24"/>
      <c r="O54" s="81"/>
      <c r="P54" s="81"/>
      <c r="Q54" s="81"/>
      <c r="R54" s="81"/>
      <c r="S54" s="81"/>
      <c r="T54" s="81"/>
      <c r="U54" s="81"/>
      <c r="V54" s="81"/>
      <c r="W54" s="81"/>
      <c r="X54" s="81"/>
    </row>
    <row r="55" spans="2:24" hidden="1" x14ac:dyDescent="0.25">
      <c r="B55" s="17" t="s">
        <v>73</v>
      </c>
      <c r="C55" s="22"/>
      <c r="D55" s="23"/>
      <c r="E55" s="23"/>
      <c r="F55" s="23"/>
      <c r="G55" s="23"/>
      <c r="H55" s="23"/>
      <c r="I55" s="23"/>
      <c r="J55" s="23"/>
      <c r="K55" s="23"/>
      <c r="L55" s="23"/>
      <c r="M55" s="24"/>
      <c r="O55" s="81"/>
      <c r="P55" s="81"/>
      <c r="Q55" s="81"/>
      <c r="R55" s="81"/>
      <c r="S55" s="81"/>
      <c r="T55" s="81"/>
      <c r="U55" s="81"/>
      <c r="V55" s="81"/>
      <c r="W55" s="81"/>
      <c r="X55" s="81"/>
    </row>
    <row r="56" spans="2:24" hidden="1" x14ac:dyDescent="0.25">
      <c r="B56" s="17" t="s">
        <v>11</v>
      </c>
      <c r="C56" s="22">
        <v>457484</v>
      </c>
      <c r="D56" s="27">
        <f>200000*(1+D25)</f>
        <v>204300.00000000003</v>
      </c>
      <c r="E56" s="27">
        <f t="shared" ref="E56:M56" si="20">D56*(1+E25)</f>
        <v>208794.60000000003</v>
      </c>
      <c r="F56" s="27">
        <f t="shared" si="20"/>
        <v>213492.47850000003</v>
      </c>
      <c r="G56" s="27">
        <f t="shared" si="20"/>
        <v>218402.8055055</v>
      </c>
      <c r="H56" s="27">
        <f t="shared" si="20"/>
        <v>223426.07003212647</v>
      </c>
      <c r="I56" s="27">
        <f t="shared" si="20"/>
        <v>228676.58267788147</v>
      </c>
      <c r="J56" s="27">
        <f t="shared" si="20"/>
        <v>233821.80578813379</v>
      </c>
      <c r="K56" s="27">
        <f t="shared" si="20"/>
        <v>239082.79641836678</v>
      </c>
      <c r="L56" s="27">
        <f t="shared" si="20"/>
        <v>244342.61793957086</v>
      </c>
      <c r="M56" s="34">
        <f t="shared" si="20"/>
        <v>249718.15553424144</v>
      </c>
      <c r="O56" s="81"/>
      <c r="P56" s="81"/>
      <c r="Q56" s="81"/>
      <c r="R56" s="81"/>
      <c r="S56" s="81"/>
      <c r="T56" s="81"/>
      <c r="U56" s="81"/>
      <c r="V56" s="81"/>
      <c r="W56" s="81"/>
      <c r="X56" s="81"/>
    </row>
    <row r="57" spans="2:24" hidden="1" x14ac:dyDescent="0.25">
      <c r="B57" s="17" t="s">
        <v>12</v>
      </c>
      <c r="C57" s="22">
        <v>4500</v>
      </c>
      <c r="D57" s="27">
        <f t="shared" ref="D57:M57" si="21">C57*(1+D25)</f>
        <v>4596.75</v>
      </c>
      <c r="E57" s="27">
        <f t="shared" si="21"/>
        <v>4697.8784999999998</v>
      </c>
      <c r="F57" s="27">
        <f t="shared" si="21"/>
        <v>4803.5807662499992</v>
      </c>
      <c r="G57" s="27">
        <f t="shared" si="21"/>
        <v>4914.0631238737487</v>
      </c>
      <c r="H57" s="27">
        <f t="shared" si="21"/>
        <v>5027.0865757228448</v>
      </c>
      <c r="I57" s="27">
        <f t="shared" si="21"/>
        <v>5145.2231102523319</v>
      </c>
      <c r="J57" s="27">
        <f t="shared" si="21"/>
        <v>5260.9906302330091</v>
      </c>
      <c r="K57" s="27">
        <f t="shared" si="21"/>
        <v>5379.3629194132518</v>
      </c>
      <c r="L57" s="27">
        <f t="shared" si="21"/>
        <v>5497.7089036403431</v>
      </c>
      <c r="M57" s="34">
        <f t="shared" si="21"/>
        <v>5618.6584995204312</v>
      </c>
      <c r="O57" s="81"/>
      <c r="P57" s="81"/>
      <c r="Q57" s="81"/>
      <c r="R57" s="81"/>
      <c r="S57" s="81"/>
      <c r="T57" s="81"/>
      <c r="U57" s="81"/>
      <c r="V57" s="81"/>
      <c r="W57" s="81"/>
      <c r="X57" s="81"/>
    </row>
    <row r="58" spans="2:24" hidden="1" x14ac:dyDescent="0.25">
      <c r="B58" s="17" t="s">
        <v>13</v>
      </c>
      <c r="C58" s="22">
        <v>71000</v>
      </c>
      <c r="D58" s="27">
        <f t="shared" ref="D58:M58" si="22">C58*(1+D25)</f>
        <v>72526.5</v>
      </c>
      <c r="E58" s="27">
        <f t="shared" si="22"/>
        <v>74122.082999999999</v>
      </c>
      <c r="F58" s="27">
        <f t="shared" si="22"/>
        <v>75789.829867499997</v>
      </c>
      <c r="G58" s="27">
        <f t="shared" si="22"/>
        <v>77532.99595445249</v>
      </c>
      <c r="H58" s="27">
        <f t="shared" si="22"/>
        <v>79316.254861404886</v>
      </c>
      <c r="I58" s="27">
        <f t="shared" si="22"/>
        <v>81180.186850647908</v>
      </c>
      <c r="J58" s="27">
        <f t="shared" si="22"/>
        <v>83006.74105478749</v>
      </c>
      <c r="K58" s="27">
        <f t="shared" si="22"/>
        <v>84874.392728520208</v>
      </c>
      <c r="L58" s="27">
        <f t="shared" si="22"/>
        <v>86741.629368547656</v>
      </c>
      <c r="M58" s="34">
        <f t="shared" si="22"/>
        <v>88649.945214655701</v>
      </c>
      <c r="O58" s="81"/>
      <c r="P58" s="81"/>
      <c r="Q58" s="81"/>
      <c r="R58" s="81"/>
      <c r="S58" s="81"/>
      <c r="T58" s="81"/>
      <c r="U58" s="81"/>
      <c r="V58" s="81"/>
      <c r="W58" s="81"/>
      <c r="X58" s="81"/>
    </row>
    <row r="59" spans="2:24" hidden="1" x14ac:dyDescent="0.25">
      <c r="B59" s="17"/>
      <c r="C59" s="22"/>
      <c r="D59" s="23"/>
      <c r="E59" s="23"/>
      <c r="F59" s="23"/>
      <c r="G59" s="23"/>
      <c r="H59" s="23"/>
      <c r="I59" s="23"/>
      <c r="J59" s="23"/>
      <c r="K59" s="23"/>
      <c r="L59" s="23"/>
      <c r="M59" s="24"/>
      <c r="O59" s="81"/>
      <c r="P59" s="81"/>
      <c r="Q59" s="81"/>
      <c r="R59" s="81"/>
      <c r="S59" s="81"/>
      <c r="T59" s="81"/>
      <c r="U59" s="81"/>
      <c r="V59" s="81"/>
      <c r="W59" s="81"/>
      <c r="X59" s="81"/>
    </row>
    <row r="60" spans="2:24" hidden="1" x14ac:dyDescent="0.25">
      <c r="B60" s="17" t="s">
        <v>14</v>
      </c>
      <c r="C60" s="22"/>
      <c r="D60" s="23"/>
      <c r="E60" s="23"/>
      <c r="F60" s="23"/>
      <c r="G60" s="23"/>
      <c r="H60" s="23"/>
      <c r="I60" s="23"/>
      <c r="J60" s="23"/>
      <c r="K60" s="23"/>
      <c r="L60" s="23"/>
      <c r="M60" s="24"/>
      <c r="O60" s="81"/>
      <c r="P60" s="81"/>
      <c r="Q60" s="81"/>
      <c r="R60" s="81"/>
      <c r="S60" s="81"/>
      <c r="T60" s="81"/>
      <c r="U60" s="81"/>
      <c r="V60" s="81"/>
      <c r="W60" s="81"/>
      <c r="X60" s="81"/>
    </row>
    <row r="61" spans="2:24" hidden="1" x14ac:dyDescent="0.25">
      <c r="B61" s="17" t="s">
        <v>11</v>
      </c>
      <c r="C61" s="22">
        <v>4345122</v>
      </c>
      <c r="D61" s="23">
        <f>(C61-55000-30000-15000-45000-15000-15000-95166-18000-24000-20000-30000)*(1+D25)</f>
        <v>4068589.5540000005</v>
      </c>
      <c r="E61" s="23">
        <f t="shared" ref="E61:M61" si="23">D61*(1+E25)</f>
        <v>4158098.5241880007</v>
      </c>
      <c r="F61" s="23">
        <f t="shared" si="23"/>
        <v>4251655.7409822308</v>
      </c>
      <c r="G61" s="23">
        <f t="shared" si="23"/>
        <v>4349443.8230248215</v>
      </c>
      <c r="H61" s="23">
        <f t="shared" si="23"/>
        <v>4449481.0309543917</v>
      </c>
      <c r="I61" s="23">
        <f t="shared" si="23"/>
        <v>4554043.8351818202</v>
      </c>
      <c r="J61" s="23">
        <f t="shared" si="23"/>
        <v>4656509.8214734113</v>
      </c>
      <c r="K61" s="23">
        <f t="shared" si="23"/>
        <v>4761281.2924565626</v>
      </c>
      <c r="L61" s="23">
        <f t="shared" si="23"/>
        <v>4866029.4808906075</v>
      </c>
      <c r="M61" s="24">
        <f t="shared" si="23"/>
        <v>4973082.1294702012</v>
      </c>
      <c r="O61" s="81"/>
      <c r="P61" s="81"/>
      <c r="Q61" s="81"/>
      <c r="R61" s="81"/>
      <c r="S61" s="81"/>
      <c r="T61" s="81"/>
      <c r="U61" s="81"/>
      <c r="V61" s="81"/>
      <c r="W61" s="81"/>
      <c r="X61" s="81"/>
    </row>
    <row r="62" spans="2:24" hidden="1" x14ac:dyDescent="0.25">
      <c r="B62" s="17" t="s">
        <v>12</v>
      </c>
      <c r="C62" s="22">
        <v>1182834</v>
      </c>
      <c r="D62" s="23">
        <f t="shared" ref="D62:M62" si="24">C62*(1+D25)</f>
        <v>1208264.9310000001</v>
      </c>
      <c r="E62" s="23">
        <f t="shared" si="24"/>
        <v>1234846.759482</v>
      </c>
      <c r="F62" s="23">
        <f t="shared" si="24"/>
        <v>1262630.811570345</v>
      </c>
      <c r="G62" s="23">
        <f t="shared" si="24"/>
        <v>1291671.3202364629</v>
      </c>
      <c r="H62" s="23">
        <f t="shared" si="24"/>
        <v>1321379.7606019014</v>
      </c>
      <c r="I62" s="23">
        <f t="shared" si="24"/>
        <v>1352432.1849760462</v>
      </c>
      <c r="J62" s="23">
        <f t="shared" si="24"/>
        <v>1382861.9091380071</v>
      </c>
      <c r="K62" s="23">
        <f t="shared" si="24"/>
        <v>1413976.3020936123</v>
      </c>
      <c r="L62" s="23">
        <f t="shared" si="24"/>
        <v>1445083.7807396718</v>
      </c>
      <c r="M62" s="24">
        <f t="shared" si="24"/>
        <v>1476875.6239159445</v>
      </c>
      <c r="O62" s="81"/>
      <c r="P62" s="81"/>
      <c r="Q62" s="81"/>
      <c r="R62" s="81"/>
      <c r="S62" s="81"/>
      <c r="T62" s="81"/>
      <c r="U62" s="81"/>
      <c r="V62" s="81"/>
      <c r="W62" s="81"/>
      <c r="X62" s="81"/>
    </row>
    <row r="63" spans="2:24" hidden="1" x14ac:dyDescent="0.25">
      <c r="B63" s="17" t="s">
        <v>13</v>
      </c>
      <c r="C63" s="22">
        <v>1425849</v>
      </c>
      <c r="D63" s="23">
        <f t="shared" ref="D63:M63" si="25">C63*(1+D25)</f>
        <v>1456504.7535000001</v>
      </c>
      <c r="E63" s="23">
        <f t="shared" si="25"/>
        <v>1488547.8580770001</v>
      </c>
      <c r="F63" s="23">
        <f t="shared" si="25"/>
        <v>1522040.1848837326</v>
      </c>
      <c r="G63" s="23">
        <f t="shared" si="25"/>
        <v>1557047.1091360583</v>
      </c>
      <c r="H63" s="23">
        <f t="shared" si="25"/>
        <v>1592859.1926461875</v>
      </c>
      <c r="I63" s="23">
        <f t="shared" si="25"/>
        <v>1630291.3836733729</v>
      </c>
      <c r="J63" s="23">
        <f t="shared" si="25"/>
        <v>1666972.9398060238</v>
      </c>
      <c r="K63" s="23">
        <f t="shared" si="25"/>
        <v>1704479.8309516592</v>
      </c>
      <c r="L63" s="23">
        <f t="shared" si="25"/>
        <v>1741978.3872325958</v>
      </c>
      <c r="M63" s="24">
        <f t="shared" si="25"/>
        <v>1780301.9117517129</v>
      </c>
      <c r="O63" s="81"/>
      <c r="P63" s="81"/>
      <c r="Q63" s="81"/>
      <c r="R63" s="81"/>
      <c r="S63" s="81"/>
      <c r="T63" s="81"/>
      <c r="U63" s="81"/>
      <c r="V63" s="81"/>
      <c r="W63" s="81"/>
      <c r="X63" s="81"/>
    </row>
    <row r="64" spans="2:24" hidden="1" x14ac:dyDescent="0.25">
      <c r="B64" s="17"/>
      <c r="C64" s="22"/>
      <c r="D64" s="23"/>
      <c r="E64" s="23"/>
      <c r="F64" s="23"/>
      <c r="G64" s="23"/>
      <c r="H64" s="23"/>
      <c r="I64" s="23"/>
      <c r="J64" s="23"/>
      <c r="K64" s="23"/>
      <c r="L64" s="23"/>
      <c r="M64" s="24"/>
      <c r="O64" s="81"/>
      <c r="P64" s="81"/>
      <c r="Q64" s="81"/>
      <c r="R64" s="81"/>
      <c r="S64" s="81"/>
      <c r="T64" s="81"/>
      <c r="U64" s="81"/>
      <c r="V64" s="81"/>
      <c r="W64" s="81"/>
      <c r="X64" s="81"/>
    </row>
    <row r="65" spans="2:24" hidden="1" x14ac:dyDescent="0.25">
      <c r="B65" s="17" t="s">
        <v>77</v>
      </c>
      <c r="C65" s="22"/>
      <c r="D65" s="23"/>
      <c r="E65" s="23"/>
      <c r="F65" s="23"/>
      <c r="G65" s="23"/>
      <c r="H65" s="23"/>
      <c r="I65" s="23"/>
      <c r="J65" s="23"/>
      <c r="K65" s="23"/>
      <c r="L65" s="23"/>
      <c r="M65" s="24"/>
      <c r="O65" s="81"/>
      <c r="P65" s="81"/>
      <c r="Q65" s="81"/>
      <c r="R65" s="81"/>
      <c r="S65" s="81"/>
      <c r="T65" s="81"/>
      <c r="U65" s="81"/>
      <c r="V65" s="81"/>
      <c r="W65" s="81"/>
      <c r="X65" s="81"/>
    </row>
    <row r="66" spans="2:24" hidden="1" x14ac:dyDescent="0.25">
      <c r="B66" s="17" t="s">
        <v>11</v>
      </c>
      <c r="C66" s="91">
        <v>521521</v>
      </c>
      <c r="D66" s="94">
        <v>286175</v>
      </c>
      <c r="E66" s="94">
        <v>112162</v>
      </c>
      <c r="F66" s="94">
        <v>83350</v>
      </c>
      <c r="G66" s="94">
        <v>83850</v>
      </c>
      <c r="H66" s="94">
        <v>83350</v>
      </c>
      <c r="I66" s="94">
        <v>85800</v>
      </c>
      <c r="J66" s="94">
        <v>85800</v>
      </c>
      <c r="K66" s="94">
        <v>85800</v>
      </c>
      <c r="L66" s="94">
        <f t="shared" ref="L66:M68" si="26">K66</f>
        <v>85800</v>
      </c>
      <c r="M66" s="95">
        <f t="shared" si="26"/>
        <v>85800</v>
      </c>
      <c r="O66" s="81"/>
      <c r="P66" s="81"/>
      <c r="Q66" s="81"/>
      <c r="R66" s="81"/>
      <c r="S66" s="81"/>
      <c r="T66" s="81"/>
      <c r="U66" s="81"/>
      <c r="V66" s="81"/>
      <c r="W66" s="81"/>
      <c r="X66" s="81"/>
    </row>
    <row r="67" spans="2:24" hidden="1" x14ac:dyDescent="0.25">
      <c r="B67" s="17" t="s">
        <v>12</v>
      </c>
      <c r="C67" s="91">
        <v>592978</v>
      </c>
      <c r="D67" s="94">
        <v>322118</v>
      </c>
      <c r="E67" s="94">
        <v>238162</v>
      </c>
      <c r="F67" s="94">
        <v>244962</v>
      </c>
      <c r="G67" s="94">
        <v>221900</v>
      </c>
      <c r="H67" s="94">
        <v>224050</v>
      </c>
      <c r="I67" s="94">
        <v>220800</v>
      </c>
      <c r="J67" s="94">
        <v>220800</v>
      </c>
      <c r="K67" s="94">
        <v>220800</v>
      </c>
      <c r="L67" s="94">
        <f t="shared" si="26"/>
        <v>220800</v>
      </c>
      <c r="M67" s="95">
        <f t="shared" si="26"/>
        <v>220800</v>
      </c>
      <c r="O67" s="81"/>
      <c r="P67" s="81"/>
      <c r="Q67" s="81"/>
      <c r="R67" s="81"/>
      <c r="S67" s="81"/>
      <c r="T67" s="81"/>
      <c r="U67" s="81"/>
      <c r="V67" s="81"/>
      <c r="W67" s="81"/>
      <c r="X67" s="81"/>
    </row>
    <row r="68" spans="2:24" hidden="1" x14ac:dyDescent="0.25">
      <c r="B68" s="17" t="s">
        <v>13</v>
      </c>
      <c r="C68" s="91">
        <f>530400+56488-19844</f>
        <v>567044</v>
      </c>
      <c r="D68" s="94">
        <v>328035</v>
      </c>
      <c r="E68" s="94">
        <v>236996</v>
      </c>
      <c r="F68" s="94">
        <v>238415</v>
      </c>
      <c r="G68" s="94">
        <v>218682</v>
      </c>
      <c r="H68" s="94">
        <v>214563</v>
      </c>
      <c r="I68" s="94">
        <v>190458</v>
      </c>
      <c r="J68" s="94">
        <v>190458</v>
      </c>
      <c r="K68" s="94">
        <v>190458</v>
      </c>
      <c r="L68" s="94">
        <f t="shared" si="26"/>
        <v>190458</v>
      </c>
      <c r="M68" s="95">
        <f t="shared" si="26"/>
        <v>190458</v>
      </c>
      <c r="O68" s="81"/>
      <c r="P68" s="81"/>
      <c r="Q68" s="81"/>
      <c r="R68" s="81"/>
      <c r="S68" s="81"/>
      <c r="T68" s="81"/>
      <c r="U68" s="81"/>
      <c r="V68" s="81"/>
      <c r="W68" s="81"/>
      <c r="X68" s="81"/>
    </row>
    <row r="69" spans="2:24" hidden="1" x14ac:dyDescent="0.25">
      <c r="B69" s="17"/>
      <c r="C69" s="91"/>
      <c r="D69" s="94"/>
      <c r="E69" s="94"/>
      <c r="F69" s="94"/>
      <c r="G69" s="94"/>
      <c r="H69" s="94"/>
      <c r="I69" s="94"/>
      <c r="J69" s="94"/>
      <c r="K69" s="94"/>
      <c r="L69" s="94"/>
      <c r="M69" s="95"/>
      <c r="O69" s="81"/>
      <c r="P69" s="81"/>
      <c r="Q69" s="81"/>
      <c r="R69" s="81"/>
      <c r="S69" s="81"/>
      <c r="T69" s="81"/>
      <c r="U69" s="81"/>
      <c r="V69" s="81"/>
      <c r="W69" s="81"/>
      <c r="X69" s="81"/>
    </row>
    <row r="70" spans="2:24" hidden="1" x14ac:dyDescent="0.25">
      <c r="B70" s="17" t="s">
        <v>74</v>
      </c>
      <c r="C70" s="91"/>
      <c r="D70" s="94"/>
      <c r="E70" s="94"/>
      <c r="F70" s="94"/>
      <c r="G70" s="94"/>
      <c r="H70" s="94"/>
      <c r="I70" s="94"/>
      <c r="J70" s="94"/>
      <c r="K70" s="94"/>
      <c r="L70" s="94"/>
      <c r="M70" s="95"/>
      <c r="O70" s="81"/>
      <c r="P70" s="81"/>
      <c r="Q70" s="81"/>
      <c r="R70" s="81"/>
      <c r="S70" s="81"/>
      <c r="T70" s="81"/>
      <c r="U70" s="81"/>
      <c r="V70" s="81"/>
      <c r="W70" s="81"/>
      <c r="X70" s="81"/>
    </row>
    <row r="71" spans="2:24" hidden="1" x14ac:dyDescent="0.25">
      <c r="B71" s="17" t="s">
        <v>11</v>
      </c>
      <c r="C71" s="91">
        <v>258372</v>
      </c>
      <c r="D71" s="94">
        <v>270000</v>
      </c>
      <c r="E71" s="94">
        <v>280000</v>
      </c>
      <c r="F71" s="94">
        <v>290000</v>
      </c>
      <c r="G71" s="94">
        <v>290000</v>
      </c>
      <c r="H71" s="94">
        <v>290000</v>
      </c>
      <c r="I71" s="94">
        <v>290000</v>
      </c>
      <c r="J71" s="94">
        <v>290000</v>
      </c>
      <c r="K71" s="94">
        <v>290000</v>
      </c>
      <c r="L71" s="94">
        <v>290000</v>
      </c>
      <c r="M71" s="95">
        <v>290000</v>
      </c>
      <c r="O71" s="81"/>
      <c r="P71" s="81"/>
      <c r="Q71" s="81"/>
      <c r="R71" s="81"/>
      <c r="S71" s="81"/>
      <c r="T71" s="81"/>
      <c r="U71" s="81"/>
      <c r="V71" s="81"/>
      <c r="W71" s="81"/>
      <c r="X71" s="81"/>
    </row>
    <row r="72" spans="2:24" hidden="1" x14ac:dyDescent="0.25">
      <c r="B72" s="17" t="s">
        <v>12</v>
      </c>
      <c r="C72" s="91">
        <v>18240</v>
      </c>
      <c r="D72" s="94">
        <v>25000</v>
      </c>
      <c r="E72" s="94">
        <v>27000</v>
      </c>
      <c r="F72" s="94">
        <v>30000</v>
      </c>
      <c r="G72" s="94">
        <v>30000</v>
      </c>
      <c r="H72" s="94">
        <v>30000</v>
      </c>
      <c r="I72" s="94">
        <v>30000</v>
      </c>
      <c r="J72" s="94">
        <v>30000</v>
      </c>
      <c r="K72" s="94">
        <v>30000</v>
      </c>
      <c r="L72" s="94">
        <v>30000</v>
      </c>
      <c r="M72" s="95">
        <v>30000</v>
      </c>
      <c r="O72" s="81"/>
      <c r="P72" s="81"/>
      <c r="Q72" s="81"/>
      <c r="R72" s="81"/>
      <c r="S72" s="81"/>
      <c r="T72" s="81"/>
      <c r="U72" s="81"/>
      <c r="V72" s="81"/>
      <c r="W72" s="81"/>
      <c r="X72" s="81"/>
    </row>
    <row r="73" spans="2:24" hidden="1" x14ac:dyDescent="0.25">
      <c r="B73" s="17" t="s">
        <v>13</v>
      </c>
      <c r="C73" s="91">
        <v>19844</v>
      </c>
      <c r="D73" s="94">
        <v>25000</v>
      </c>
      <c r="E73" s="94">
        <v>27000</v>
      </c>
      <c r="F73" s="94">
        <v>30000</v>
      </c>
      <c r="G73" s="94">
        <v>30000</v>
      </c>
      <c r="H73" s="94">
        <v>30000</v>
      </c>
      <c r="I73" s="94">
        <v>30000</v>
      </c>
      <c r="J73" s="94">
        <v>30000</v>
      </c>
      <c r="K73" s="94">
        <v>30000</v>
      </c>
      <c r="L73" s="94">
        <v>30000</v>
      </c>
      <c r="M73" s="95">
        <v>30000</v>
      </c>
      <c r="O73" s="81"/>
      <c r="P73" s="81"/>
      <c r="Q73" s="81"/>
      <c r="R73" s="81"/>
      <c r="S73" s="81"/>
      <c r="T73" s="81"/>
      <c r="U73" s="81"/>
      <c r="V73" s="81"/>
      <c r="W73" s="81"/>
      <c r="X73" s="81"/>
    </row>
    <row r="74" spans="2:24" hidden="1" x14ac:dyDescent="0.25">
      <c r="B74" s="17"/>
      <c r="C74" s="91"/>
      <c r="D74" s="94"/>
      <c r="E74" s="94"/>
      <c r="F74" s="94"/>
      <c r="G74" s="94"/>
      <c r="H74" s="94"/>
      <c r="I74" s="94"/>
      <c r="J74" s="94"/>
      <c r="K74" s="94"/>
      <c r="L74" s="94"/>
      <c r="M74" s="95"/>
      <c r="O74" s="81"/>
      <c r="P74" s="81"/>
      <c r="Q74" s="81"/>
      <c r="R74" s="81"/>
      <c r="S74" s="81"/>
      <c r="T74" s="81"/>
      <c r="U74" s="81"/>
      <c r="V74" s="81"/>
      <c r="W74" s="81"/>
      <c r="X74" s="81"/>
    </row>
    <row r="75" spans="2:24" hidden="1" x14ac:dyDescent="0.25">
      <c r="B75" s="17"/>
      <c r="C75" s="91"/>
      <c r="D75" s="94"/>
      <c r="E75" s="94"/>
      <c r="F75" s="94"/>
      <c r="G75" s="94"/>
      <c r="H75" s="94"/>
      <c r="I75" s="94"/>
      <c r="J75" s="94"/>
      <c r="K75" s="94"/>
      <c r="L75" s="94"/>
      <c r="M75" s="95"/>
      <c r="O75" s="81"/>
      <c r="P75" s="81"/>
      <c r="Q75" s="81"/>
      <c r="R75" s="81"/>
      <c r="S75" s="81"/>
      <c r="T75" s="81"/>
      <c r="U75" s="81"/>
      <c r="V75" s="81"/>
      <c r="W75" s="81"/>
      <c r="X75" s="81"/>
    </row>
    <row r="76" spans="2:24" hidden="1" x14ac:dyDescent="0.25">
      <c r="B76" s="17" t="s">
        <v>78</v>
      </c>
      <c r="C76" s="91"/>
      <c r="D76" s="94"/>
      <c r="E76" s="94"/>
      <c r="F76" s="94"/>
      <c r="G76" s="94"/>
      <c r="H76" s="94"/>
      <c r="I76" s="94"/>
      <c r="J76" s="94"/>
      <c r="K76" s="94"/>
      <c r="L76" s="94"/>
      <c r="M76" s="95"/>
      <c r="O76" s="81"/>
      <c r="P76" s="81"/>
      <c r="Q76" s="81"/>
      <c r="R76" s="81"/>
      <c r="S76" s="81"/>
      <c r="T76" s="81"/>
      <c r="U76" s="81"/>
      <c r="V76" s="81"/>
      <c r="W76" s="81"/>
      <c r="X76" s="81"/>
    </row>
    <row r="77" spans="2:24" hidden="1" x14ac:dyDescent="0.25">
      <c r="B77" s="17" t="s">
        <v>11</v>
      </c>
      <c r="C77" s="91">
        <v>521922</v>
      </c>
      <c r="D77" s="92">
        <v>519762</v>
      </c>
      <c r="E77" s="92">
        <v>525640</v>
      </c>
      <c r="F77" s="92">
        <v>470968</v>
      </c>
      <c r="G77" s="92">
        <v>460844</v>
      </c>
      <c r="H77" s="92">
        <v>450718</v>
      </c>
      <c r="I77" s="92">
        <v>455056</v>
      </c>
      <c r="J77" s="92">
        <v>448756</v>
      </c>
      <c r="K77" s="92">
        <v>442306</v>
      </c>
      <c r="L77" s="92">
        <v>435706</v>
      </c>
      <c r="M77" s="93">
        <v>359500</v>
      </c>
      <c r="O77" s="81"/>
      <c r="P77" s="81"/>
      <c r="Q77" s="81"/>
      <c r="R77" s="81"/>
      <c r="S77" s="81"/>
      <c r="T77" s="81"/>
      <c r="U77" s="81"/>
      <c r="V77" s="81"/>
      <c r="W77" s="81"/>
      <c r="X77" s="81"/>
    </row>
    <row r="78" spans="2:24" hidden="1" x14ac:dyDescent="0.25">
      <c r="B78" s="17" t="s">
        <v>12</v>
      </c>
      <c r="C78" s="91">
        <v>592979</v>
      </c>
      <c r="D78" s="92">
        <v>594681</v>
      </c>
      <c r="E78" s="92">
        <v>598968</v>
      </c>
      <c r="F78" s="92">
        <v>538419</v>
      </c>
      <c r="G78" s="92">
        <v>515950</v>
      </c>
      <c r="H78" s="92">
        <v>518506</v>
      </c>
      <c r="I78" s="92">
        <v>515662</v>
      </c>
      <c r="J78" s="92">
        <v>522312</v>
      </c>
      <c r="K78" s="92">
        <v>513712</v>
      </c>
      <c r="L78" s="92">
        <v>510062</v>
      </c>
      <c r="M78" s="93">
        <v>511121</v>
      </c>
      <c r="O78" s="81"/>
      <c r="P78" s="81"/>
      <c r="Q78" s="81"/>
      <c r="R78" s="81"/>
      <c r="S78" s="81"/>
      <c r="T78" s="81"/>
      <c r="U78" s="81"/>
      <c r="V78" s="81"/>
      <c r="W78" s="81"/>
      <c r="X78" s="81"/>
    </row>
    <row r="79" spans="2:24" hidden="1" x14ac:dyDescent="0.25">
      <c r="B79" s="17" t="s">
        <v>13</v>
      </c>
      <c r="C79" s="91">
        <v>566750</v>
      </c>
      <c r="D79" s="92">
        <v>564876</v>
      </c>
      <c r="E79" s="92">
        <v>582333</v>
      </c>
      <c r="F79" s="92">
        <v>543821</v>
      </c>
      <c r="G79" s="92">
        <v>520397</v>
      </c>
      <c r="H79" s="92">
        <v>517511</v>
      </c>
      <c r="I79" s="92">
        <v>489396</v>
      </c>
      <c r="J79" s="92">
        <v>481891</v>
      </c>
      <c r="K79" s="92">
        <v>479028</v>
      </c>
      <c r="L79" s="92">
        <v>481116</v>
      </c>
      <c r="M79" s="93">
        <v>408328</v>
      </c>
      <c r="O79" s="81"/>
      <c r="P79" s="81"/>
      <c r="Q79" s="81"/>
      <c r="R79" s="81"/>
      <c r="S79" s="81"/>
      <c r="T79" s="81"/>
      <c r="U79" s="81"/>
      <c r="V79" s="81"/>
      <c r="W79" s="81"/>
      <c r="X79" s="81"/>
    </row>
    <row r="80" spans="2:24" hidden="1" x14ac:dyDescent="0.25">
      <c r="B80" s="17"/>
      <c r="C80" s="22"/>
      <c r="D80" s="23"/>
      <c r="E80" s="23"/>
      <c r="F80" s="23"/>
      <c r="G80" s="23"/>
      <c r="H80" s="23"/>
      <c r="I80" s="23"/>
      <c r="J80" s="23"/>
      <c r="K80" s="23"/>
      <c r="L80" s="23"/>
      <c r="M80" s="24"/>
      <c r="O80" s="81"/>
      <c r="P80" s="81"/>
      <c r="Q80" s="81"/>
      <c r="R80" s="81"/>
      <c r="S80" s="81"/>
      <c r="T80" s="81"/>
      <c r="U80" s="81"/>
      <c r="V80" s="81"/>
      <c r="W80" s="81"/>
      <c r="X80" s="81"/>
    </row>
    <row r="81" spans="2:24" hidden="1" x14ac:dyDescent="0.25">
      <c r="B81" s="17" t="s">
        <v>15</v>
      </c>
      <c r="C81" s="22"/>
      <c r="D81" s="23"/>
      <c r="E81" s="23"/>
      <c r="F81" s="23"/>
      <c r="G81" s="23"/>
      <c r="H81" s="23"/>
      <c r="I81" s="23"/>
      <c r="J81" s="23"/>
      <c r="K81" s="23"/>
      <c r="L81" s="23"/>
      <c r="M81" s="24"/>
      <c r="O81" s="81"/>
      <c r="P81" s="81"/>
      <c r="Q81" s="81"/>
      <c r="R81" s="81"/>
      <c r="S81" s="81"/>
      <c r="T81" s="81"/>
      <c r="U81" s="81"/>
      <c r="V81" s="81"/>
      <c r="W81" s="81"/>
      <c r="X81" s="81"/>
    </row>
    <row r="82" spans="2:24" hidden="1" x14ac:dyDescent="0.25">
      <c r="B82" s="17" t="s">
        <v>11</v>
      </c>
      <c r="C82" s="22">
        <v>20000</v>
      </c>
      <c r="D82" s="39">
        <f>C82</f>
        <v>20000</v>
      </c>
      <c r="E82" s="39">
        <f>D82</f>
        <v>20000</v>
      </c>
      <c r="F82" s="39">
        <f t="shared" ref="F82:M82" si="27">E82</f>
        <v>20000</v>
      </c>
      <c r="G82" s="39">
        <f t="shared" si="27"/>
        <v>20000</v>
      </c>
      <c r="H82" s="39">
        <f t="shared" si="27"/>
        <v>20000</v>
      </c>
      <c r="I82" s="39">
        <f t="shared" si="27"/>
        <v>20000</v>
      </c>
      <c r="J82" s="39">
        <f t="shared" si="27"/>
        <v>20000</v>
      </c>
      <c r="K82" s="39">
        <f t="shared" si="27"/>
        <v>20000</v>
      </c>
      <c r="L82" s="39">
        <f t="shared" si="27"/>
        <v>20000</v>
      </c>
      <c r="M82" s="40">
        <f t="shared" si="27"/>
        <v>20000</v>
      </c>
      <c r="O82" s="81"/>
      <c r="P82" s="81"/>
      <c r="Q82" s="81"/>
      <c r="R82" s="81"/>
      <c r="S82" s="81"/>
      <c r="T82" s="81"/>
      <c r="U82" s="81"/>
      <c r="V82" s="81"/>
      <c r="W82" s="81"/>
      <c r="X82" s="81"/>
    </row>
    <row r="83" spans="2:24" hidden="1" x14ac:dyDescent="0.25">
      <c r="B83" s="17" t="s">
        <v>12</v>
      </c>
      <c r="C83" s="22">
        <v>165000</v>
      </c>
      <c r="D83" s="39">
        <v>15000</v>
      </c>
      <c r="E83" s="39">
        <f t="shared" ref="E83:M83" si="28">D83</f>
        <v>15000</v>
      </c>
      <c r="F83" s="39">
        <f t="shared" si="28"/>
        <v>15000</v>
      </c>
      <c r="G83" s="39">
        <f t="shared" si="28"/>
        <v>15000</v>
      </c>
      <c r="H83" s="39">
        <f t="shared" si="28"/>
        <v>15000</v>
      </c>
      <c r="I83" s="39">
        <f t="shared" si="28"/>
        <v>15000</v>
      </c>
      <c r="J83" s="39">
        <f t="shared" si="28"/>
        <v>15000</v>
      </c>
      <c r="K83" s="39">
        <f t="shared" si="28"/>
        <v>15000</v>
      </c>
      <c r="L83" s="39">
        <f t="shared" si="28"/>
        <v>15000</v>
      </c>
      <c r="M83" s="40">
        <f t="shared" si="28"/>
        <v>15000</v>
      </c>
      <c r="O83" s="81"/>
      <c r="P83" s="81"/>
      <c r="Q83" s="81"/>
      <c r="R83" s="81"/>
      <c r="S83" s="81"/>
      <c r="T83" s="81"/>
      <c r="U83" s="81"/>
      <c r="V83" s="81"/>
      <c r="W83" s="81"/>
      <c r="X83" s="81"/>
    </row>
    <row r="84" spans="2:24" hidden="1" x14ac:dyDescent="0.25">
      <c r="B84" s="17" t="s">
        <v>13</v>
      </c>
      <c r="C84" s="22">
        <v>137242</v>
      </c>
      <c r="D84" s="39">
        <v>15000</v>
      </c>
      <c r="E84" s="39">
        <f t="shared" ref="E84:M84" si="29">D84</f>
        <v>15000</v>
      </c>
      <c r="F84" s="39">
        <f t="shared" si="29"/>
        <v>15000</v>
      </c>
      <c r="G84" s="39">
        <f t="shared" si="29"/>
        <v>15000</v>
      </c>
      <c r="H84" s="39">
        <f t="shared" si="29"/>
        <v>15000</v>
      </c>
      <c r="I84" s="39">
        <f t="shared" si="29"/>
        <v>15000</v>
      </c>
      <c r="J84" s="39">
        <f t="shared" si="29"/>
        <v>15000</v>
      </c>
      <c r="K84" s="39">
        <f t="shared" si="29"/>
        <v>15000</v>
      </c>
      <c r="L84" s="39">
        <f t="shared" si="29"/>
        <v>15000</v>
      </c>
      <c r="M84" s="40">
        <f t="shared" si="29"/>
        <v>15000</v>
      </c>
      <c r="O84" s="81"/>
      <c r="P84" s="81"/>
      <c r="Q84" s="81"/>
      <c r="R84" s="81"/>
      <c r="S84" s="81"/>
      <c r="T84" s="81"/>
      <c r="U84" s="81"/>
      <c r="V84" s="81"/>
      <c r="W84" s="81"/>
      <c r="X84" s="81"/>
    </row>
    <row r="85" spans="2:24" hidden="1" x14ac:dyDescent="0.25">
      <c r="B85" s="17"/>
      <c r="C85" s="22"/>
      <c r="D85" s="23"/>
      <c r="E85" s="23"/>
      <c r="F85" s="23"/>
      <c r="G85" s="23"/>
      <c r="H85" s="23"/>
      <c r="I85" s="23"/>
      <c r="J85" s="23"/>
      <c r="K85" s="23"/>
      <c r="L85" s="23"/>
      <c r="M85" s="24"/>
      <c r="O85" s="81"/>
      <c r="P85" s="81"/>
      <c r="Q85" s="81"/>
      <c r="R85" s="81"/>
      <c r="S85" s="81"/>
      <c r="T85" s="81"/>
      <c r="U85" s="81"/>
      <c r="V85" s="81"/>
      <c r="W85" s="81"/>
      <c r="X85" s="81"/>
    </row>
    <row r="86" spans="2:24" hidden="1" x14ac:dyDescent="0.25">
      <c r="B86" s="17" t="s">
        <v>19</v>
      </c>
      <c r="C86" s="22"/>
      <c r="D86" s="23"/>
      <c r="E86" s="23"/>
      <c r="F86" s="23"/>
      <c r="G86" s="23"/>
      <c r="H86" s="23"/>
      <c r="I86" s="23"/>
      <c r="J86" s="23"/>
      <c r="K86" s="23"/>
      <c r="L86" s="23"/>
      <c r="M86" s="24"/>
      <c r="O86" s="81"/>
      <c r="P86" s="81"/>
      <c r="Q86" s="81"/>
      <c r="R86" s="81"/>
      <c r="S86" s="81"/>
      <c r="T86" s="81"/>
      <c r="U86" s="81"/>
      <c r="V86" s="81"/>
      <c r="W86" s="81"/>
      <c r="X86" s="81"/>
    </row>
    <row r="87" spans="2:24" hidden="1" x14ac:dyDescent="0.25">
      <c r="B87" s="17" t="s">
        <v>11</v>
      </c>
      <c r="C87" s="91">
        <f>10740292-C92-C97-C102</f>
        <v>1289541</v>
      </c>
      <c r="D87" s="97">
        <f t="shared" ref="D87:M87" si="30">C87*(1+(0.5*D25))</f>
        <v>1303403.5657500001</v>
      </c>
      <c r="E87" s="97">
        <f t="shared" si="30"/>
        <v>1317741.00497325</v>
      </c>
      <c r="F87" s="97">
        <f t="shared" si="30"/>
        <v>1332565.5912791991</v>
      </c>
      <c r="G87" s="97">
        <f t="shared" si="30"/>
        <v>1347890.0955789101</v>
      </c>
      <c r="H87" s="97">
        <f t="shared" si="30"/>
        <v>1363390.8316780676</v>
      </c>
      <c r="I87" s="97">
        <f t="shared" si="30"/>
        <v>1379410.6739502847</v>
      </c>
      <c r="J87" s="97">
        <f t="shared" si="30"/>
        <v>1394929.0440322254</v>
      </c>
      <c r="K87" s="97">
        <f t="shared" si="30"/>
        <v>1410621.9957775879</v>
      </c>
      <c r="L87" s="97">
        <f t="shared" si="30"/>
        <v>1426138.8377311411</v>
      </c>
      <c r="M87" s="98">
        <f t="shared" si="30"/>
        <v>1441826.3649461835</v>
      </c>
      <c r="O87" s="81"/>
      <c r="P87" s="81"/>
      <c r="Q87" s="81"/>
      <c r="R87" s="81"/>
      <c r="S87" s="81"/>
      <c r="T87" s="81"/>
      <c r="U87" s="81"/>
      <c r="V87" s="81"/>
      <c r="W87" s="81"/>
      <c r="X87" s="81"/>
    </row>
    <row r="88" spans="2:24" hidden="1" x14ac:dyDescent="0.25">
      <c r="B88" s="17" t="s">
        <v>12</v>
      </c>
      <c r="C88" s="91">
        <f>1205672-C93-C98-C103</f>
        <v>99062</v>
      </c>
      <c r="D88" s="97">
        <f t="shared" ref="D88:M88" si="31">C88*(1+(0.5*D25))</f>
        <v>100126.91650000001</v>
      </c>
      <c r="E88" s="97">
        <f t="shared" si="31"/>
        <v>101228.31258149999</v>
      </c>
      <c r="F88" s="97">
        <f t="shared" si="31"/>
        <v>102367.13109804186</v>
      </c>
      <c r="G88" s="97">
        <f t="shared" si="31"/>
        <v>103544.35310566935</v>
      </c>
      <c r="H88" s="97">
        <f t="shared" si="31"/>
        <v>104735.11316638454</v>
      </c>
      <c r="I88" s="97">
        <f t="shared" si="31"/>
        <v>105965.75074608956</v>
      </c>
      <c r="J88" s="97">
        <f t="shared" si="31"/>
        <v>107157.86544198306</v>
      </c>
      <c r="K88" s="97">
        <f t="shared" si="31"/>
        <v>108363.39142820536</v>
      </c>
      <c r="L88" s="97">
        <f t="shared" si="31"/>
        <v>109555.38873391561</v>
      </c>
      <c r="M88" s="98">
        <f t="shared" si="31"/>
        <v>110760.49800998866</v>
      </c>
      <c r="O88" s="81"/>
      <c r="P88" s="81"/>
      <c r="Q88" s="81"/>
      <c r="R88" s="81"/>
      <c r="S88" s="81"/>
      <c r="T88" s="81"/>
      <c r="U88" s="81"/>
      <c r="V88" s="81"/>
      <c r="W88" s="81"/>
      <c r="X88" s="81"/>
    </row>
    <row r="89" spans="2:24" hidden="1" x14ac:dyDescent="0.25">
      <c r="B89" s="17" t="s">
        <v>13</v>
      </c>
      <c r="C89" s="91">
        <f>1015353-C94-C99-C104</f>
        <v>82396</v>
      </c>
      <c r="D89" s="97">
        <f t="shared" ref="D89:M89" si="32">C89*(1+(0.5*D25))</f>
        <v>83281.756999999998</v>
      </c>
      <c r="E89" s="97">
        <f t="shared" si="32"/>
        <v>84197.856326999987</v>
      </c>
      <c r="F89" s="97">
        <f t="shared" si="32"/>
        <v>85145.082210678738</v>
      </c>
      <c r="G89" s="97">
        <f t="shared" si="32"/>
        <v>86124.250656101547</v>
      </c>
      <c r="H89" s="97">
        <f t="shared" si="32"/>
        <v>87114.679538646727</v>
      </c>
      <c r="I89" s="97">
        <f t="shared" si="32"/>
        <v>88138.277023225819</v>
      </c>
      <c r="J89" s="97">
        <f t="shared" si="32"/>
        <v>89129.832639737113</v>
      </c>
      <c r="K89" s="97">
        <f t="shared" si="32"/>
        <v>90132.54325693415</v>
      </c>
      <c r="L89" s="97">
        <f t="shared" si="32"/>
        <v>91124.00123276042</v>
      </c>
      <c r="M89" s="98">
        <f t="shared" si="32"/>
        <v>92126.365246320769</v>
      </c>
      <c r="O89" s="81"/>
      <c r="P89" s="81"/>
      <c r="Q89" s="81"/>
      <c r="R89" s="81"/>
      <c r="S89" s="81"/>
      <c r="T89" s="81"/>
      <c r="U89" s="81"/>
      <c r="V89" s="81"/>
      <c r="W89" s="81"/>
      <c r="X89" s="81"/>
    </row>
    <row r="90" spans="2:24" hidden="1" x14ac:dyDescent="0.25">
      <c r="B90" s="17"/>
      <c r="C90" s="22"/>
      <c r="D90" s="23"/>
      <c r="E90" s="23"/>
      <c r="F90" s="23"/>
      <c r="G90" s="23"/>
      <c r="H90" s="23"/>
      <c r="I90" s="23"/>
      <c r="J90" s="23"/>
      <c r="K90" s="23"/>
      <c r="L90" s="23"/>
      <c r="M90" s="24"/>
      <c r="O90" s="81"/>
      <c r="P90" s="81"/>
      <c r="Q90" s="81"/>
      <c r="R90" s="81"/>
      <c r="S90" s="81"/>
      <c r="T90" s="81"/>
      <c r="U90" s="81"/>
      <c r="V90" s="81"/>
      <c r="W90" s="81"/>
      <c r="X90" s="81"/>
    </row>
    <row r="91" spans="2:24" hidden="1" x14ac:dyDescent="0.25">
      <c r="B91" s="17" t="s">
        <v>16</v>
      </c>
      <c r="C91" s="22"/>
      <c r="D91" s="23"/>
      <c r="E91" s="23"/>
      <c r="F91" s="23"/>
      <c r="G91" s="23"/>
      <c r="H91" s="23"/>
      <c r="I91" s="23"/>
      <c r="J91" s="23"/>
      <c r="K91" s="23"/>
      <c r="L91" s="23"/>
      <c r="M91" s="24"/>
      <c r="O91" s="81"/>
      <c r="P91" s="81"/>
      <c r="Q91" s="81"/>
      <c r="R91" s="81"/>
      <c r="S91" s="81"/>
      <c r="T91" s="81"/>
      <c r="U91" s="81"/>
      <c r="V91" s="81"/>
      <c r="W91" s="81"/>
      <c r="X91" s="81"/>
    </row>
    <row r="92" spans="2:24" hidden="1" x14ac:dyDescent="0.25">
      <c r="B92" s="17" t="s">
        <v>11</v>
      </c>
      <c r="C92" s="22">
        <v>1042655</v>
      </c>
      <c r="D92" s="41">
        <f t="shared" ref="D92:M92" si="33">(D32+D33+D34+D35+D36+D37+D51)*D19</f>
        <v>1019052.3699906161</v>
      </c>
      <c r="E92" s="41">
        <f t="shared" si="33"/>
        <v>1037856.8464771442</v>
      </c>
      <c r="F92" s="41">
        <f t="shared" si="33"/>
        <v>1055798.2179652036</v>
      </c>
      <c r="G92" s="41">
        <f t="shared" si="33"/>
        <v>1075327.4983282464</v>
      </c>
      <c r="H92" s="41">
        <f t="shared" si="33"/>
        <v>1093964.4262035056</v>
      </c>
      <c r="I92" s="41">
        <f t="shared" si="33"/>
        <v>1114246.5606565082</v>
      </c>
      <c r="J92" s="41">
        <f t="shared" si="33"/>
        <v>1134929.7317071625</v>
      </c>
      <c r="K92" s="41">
        <f t="shared" si="33"/>
        <v>1156021.8909960513</v>
      </c>
      <c r="L92" s="41">
        <f t="shared" si="33"/>
        <v>1177531.1481601968</v>
      </c>
      <c r="M92" s="42">
        <f t="shared" si="33"/>
        <v>1199465.7739774466</v>
      </c>
      <c r="O92" s="81"/>
      <c r="P92" s="81"/>
      <c r="Q92" s="81"/>
      <c r="R92" s="81"/>
      <c r="S92" s="81"/>
      <c r="T92" s="81"/>
      <c r="U92" s="81"/>
      <c r="V92" s="81"/>
      <c r="W92" s="81"/>
      <c r="X92" s="81"/>
    </row>
    <row r="93" spans="2:24" hidden="1" x14ac:dyDescent="0.25">
      <c r="B93" s="17" t="s">
        <v>12</v>
      </c>
      <c r="C93" s="22">
        <v>104895</v>
      </c>
      <c r="D93" s="23">
        <f t="shared" ref="D93:M93" si="34">(D52+D39+D40+D41)*D19</f>
        <v>105489.78134932289</v>
      </c>
      <c r="E93" s="23">
        <f t="shared" si="34"/>
        <v>107536.08420166852</v>
      </c>
      <c r="F93" s="23">
        <f t="shared" si="34"/>
        <v>109655.01654755196</v>
      </c>
      <c r="G93" s="23">
        <f t="shared" si="34"/>
        <v>111782.89694348049</v>
      </c>
      <c r="H93" s="23">
        <f t="shared" si="34"/>
        <v>113986.1575151266</v>
      </c>
      <c r="I93" s="23">
        <f t="shared" si="34"/>
        <v>116198.87260126341</v>
      </c>
      <c r="J93" s="23">
        <f t="shared" si="34"/>
        <v>118455.05533893798</v>
      </c>
      <c r="K93" s="23">
        <f t="shared" si="34"/>
        <v>120755.5632814283</v>
      </c>
      <c r="L93" s="23">
        <f t="shared" si="34"/>
        <v>123101.27095608163</v>
      </c>
      <c r="M93" s="24">
        <f t="shared" si="34"/>
        <v>125493.07020114094</v>
      </c>
      <c r="O93" s="81"/>
      <c r="P93" s="81"/>
      <c r="Q93" s="81"/>
      <c r="R93" s="81"/>
      <c r="S93" s="81"/>
      <c r="T93" s="81"/>
      <c r="U93" s="81"/>
      <c r="V93" s="81"/>
      <c r="W93" s="81"/>
      <c r="X93" s="81"/>
    </row>
    <row r="94" spans="2:24" hidden="1" x14ac:dyDescent="0.25">
      <c r="B94" s="17" t="s">
        <v>13</v>
      </c>
      <c r="C94" s="22">
        <v>91063</v>
      </c>
      <c r="D94" s="23">
        <f t="shared" ref="D94:M94" si="35">(D43+D44+D45+D53)*D19</f>
        <v>90367.682159964097</v>
      </c>
      <c r="E94" s="23">
        <f t="shared" si="35"/>
        <v>92122.855413943966</v>
      </c>
      <c r="F94" s="23">
        <f t="shared" si="35"/>
        <v>93945.644461288175</v>
      </c>
      <c r="G94" s="23">
        <f t="shared" si="35"/>
        <v>95770.853088567543</v>
      </c>
      <c r="H94" s="23">
        <f t="shared" si="35"/>
        <v>97666.225901865721</v>
      </c>
      <c r="I94" s="23">
        <f t="shared" si="35"/>
        <v>99564.268492522431</v>
      </c>
      <c r="J94" s="23">
        <f t="shared" si="35"/>
        <v>101499.5778739339</v>
      </c>
      <c r="K94" s="23">
        <f t="shared" si="35"/>
        <v>103472.88897099935</v>
      </c>
      <c r="L94" s="23">
        <f t="shared" si="35"/>
        <v>105484.95125095223</v>
      </c>
      <c r="M94" s="24">
        <f t="shared" si="35"/>
        <v>107536.52901186451</v>
      </c>
      <c r="O94" s="81"/>
      <c r="P94" s="81"/>
      <c r="Q94" s="81"/>
      <c r="R94" s="81"/>
      <c r="S94" s="81"/>
      <c r="T94" s="81"/>
      <c r="U94" s="81"/>
      <c r="V94" s="81"/>
      <c r="W94" s="81"/>
      <c r="X94" s="81"/>
    </row>
    <row r="95" spans="2:24" hidden="1" x14ac:dyDescent="0.25">
      <c r="B95" s="17"/>
      <c r="C95" s="22"/>
      <c r="D95" s="23"/>
      <c r="E95" s="23"/>
      <c r="F95" s="23"/>
      <c r="G95" s="23"/>
      <c r="H95" s="23"/>
      <c r="I95" s="23"/>
      <c r="J95" s="23"/>
      <c r="K95" s="23"/>
      <c r="L95" s="23"/>
      <c r="M95" s="24"/>
      <c r="O95" s="81"/>
      <c r="P95" s="81"/>
      <c r="Q95" s="81"/>
      <c r="R95" s="81"/>
      <c r="S95" s="81"/>
      <c r="T95" s="81"/>
      <c r="U95" s="81"/>
      <c r="V95" s="81"/>
      <c r="W95" s="81"/>
      <c r="X95" s="81"/>
    </row>
    <row r="96" spans="2:24" hidden="1" x14ac:dyDescent="0.25">
      <c r="B96" s="17" t="s">
        <v>17</v>
      </c>
      <c r="C96" s="91"/>
      <c r="D96" s="94"/>
      <c r="E96" s="94"/>
      <c r="F96" s="94"/>
      <c r="G96" s="94"/>
      <c r="H96" s="94"/>
      <c r="I96" s="94"/>
      <c r="J96" s="94"/>
      <c r="K96" s="94"/>
      <c r="L96" s="94"/>
      <c r="M96" s="95"/>
      <c r="O96" s="81"/>
      <c r="P96" s="81"/>
      <c r="Q96" s="81"/>
      <c r="R96" s="81"/>
      <c r="S96" s="81"/>
      <c r="T96" s="81"/>
      <c r="U96" s="81"/>
      <c r="V96" s="81"/>
      <c r="W96" s="81"/>
      <c r="X96" s="81"/>
    </row>
    <row r="97" spans="2:24" hidden="1" x14ac:dyDescent="0.25">
      <c r="B97" s="17" t="s">
        <v>11</v>
      </c>
      <c r="C97" s="96">
        <v>5538545</v>
      </c>
      <c r="D97" s="97">
        <f>C97*(1+D108)</f>
        <v>5657623.7175000003</v>
      </c>
      <c r="E97" s="97">
        <f t="shared" ref="E97:M97" si="36">D97*(1+E108)</f>
        <v>5782091.4392850008</v>
      </c>
      <c r="F97" s="97">
        <f t="shared" si="36"/>
        <v>5912188.4966689134</v>
      </c>
      <c r="G97" s="97">
        <f t="shared" si="36"/>
        <v>6048168.8320922982</v>
      </c>
      <c r="H97" s="97">
        <f t="shared" si="36"/>
        <v>6187276.7152304202</v>
      </c>
      <c r="I97" s="97">
        <f t="shared" si="36"/>
        <v>6332677.7180383354</v>
      </c>
      <c r="J97" s="97">
        <f t="shared" si="36"/>
        <v>6475162.9666941976</v>
      </c>
      <c r="K97" s="97">
        <f t="shared" si="36"/>
        <v>6620854.1334448168</v>
      </c>
      <c r="L97" s="97">
        <f t="shared" si="36"/>
        <v>6766512.9243806032</v>
      </c>
      <c r="M97" s="98">
        <f t="shared" si="36"/>
        <v>6915376.2087169765</v>
      </c>
      <c r="O97" s="81"/>
      <c r="P97" s="81"/>
      <c r="Q97" s="81"/>
      <c r="R97" s="81"/>
      <c r="S97" s="81"/>
      <c r="T97" s="81"/>
      <c r="U97" s="81"/>
      <c r="V97" s="81"/>
      <c r="W97" s="81"/>
      <c r="X97" s="81"/>
    </row>
    <row r="98" spans="2:24" hidden="1" x14ac:dyDescent="0.25">
      <c r="B98" s="17" t="s">
        <v>12</v>
      </c>
      <c r="C98" s="91">
        <v>824922</v>
      </c>
      <c r="D98" s="97">
        <f>C98*(1+D108)</f>
        <v>842657.82300000009</v>
      </c>
      <c r="E98" s="97">
        <f t="shared" ref="E98:M98" si="37">D98*(1+E108)</f>
        <v>861196.29510600015</v>
      </c>
      <c r="F98" s="97">
        <f t="shared" si="37"/>
        <v>880573.21174588508</v>
      </c>
      <c r="G98" s="97">
        <f t="shared" si="37"/>
        <v>900826.39561604033</v>
      </c>
      <c r="H98" s="97">
        <f t="shared" si="37"/>
        <v>921545.40271520917</v>
      </c>
      <c r="I98" s="97">
        <f t="shared" si="37"/>
        <v>943201.71967901662</v>
      </c>
      <c r="J98" s="97">
        <f t="shared" si="37"/>
        <v>964423.75837179448</v>
      </c>
      <c r="K98" s="97">
        <f t="shared" si="37"/>
        <v>986123.29293515987</v>
      </c>
      <c r="L98" s="97">
        <f t="shared" si="37"/>
        <v>1007818.0053797334</v>
      </c>
      <c r="M98" s="98">
        <f t="shared" si="37"/>
        <v>1029990.0014980875</v>
      </c>
      <c r="O98" s="81"/>
      <c r="P98" s="81"/>
      <c r="Q98" s="81"/>
      <c r="R98" s="81"/>
      <c r="S98" s="81"/>
      <c r="T98" s="81"/>
      <c r="U98" s="81"/>
      <c r="V98" s="81"/>
      <c r="W98" s="81"/>
      <c r="X98" s="81"/>
    </row>
    <row r="99" spans="2:24" hidden="1" x14ac:dyDescent="0.25">
      <c r="B99" s="17" t="s">
        <v>13</v>
      </c>
      <c r="C99" s="91">
        <v>690206</v>
      </c>
      <c r="D99" s="97">
        <f>C99*(1+D108)</f>
        <v>705045.429</v>
      </c>
      <c r="E99" s="97">
        <f t="shared" ref="E99:M99" si="38">D99*(1+E108)</f>
        <v>720556.42843800003</v>
      </c>
      <c r="F99" s="97">
        <f t="shared" si="38"/>
        <v>736768.94807785505</v>
      </c>
      <c r="G99" s="97">
        <f t="shared" si="38"/>
        <v>753714.63388364564</v>
      </c>
      <c r="H99" s="97">
        <f t="shared" si="38"/>
        <v>771050.07046296948</v>
      </c>
      <c r="I99" s="97">
        <f t="shared" si="38"/>
        <v>789169.74711884931</v>
      </c>
      <c r="J99" s="97">
        <f t="shared" si="38"/>
        <v>806926.0664290234</v>
      </c>
      <c r="K99" s="97">
        <f t="shared" si="38"/>
        <v>825081.90292367642</v>
      </c>
      <c r="L99" s="97">
        <f t="shared" si="38"/>
        <v>843233.7047879973</v>
      </c>
      <c r="M99" s="98">
        <f t="shared" si="38"/>
        <v>861784.84629333322</v>
      </c>
      <c r="O99" s="81"/>
      <c r="P99" s="81"/>
      <c r="Q99" s="81"/>
      <c r="R99" s="81"/>
      <c r="S99" s="81"/>
      <c r="T99" s="81"/>
      <c r="U99" s="81"/>
      <c r="V99" s="81"/>
      <c r="W99" s="81"/>
      <c r="X99" s="81"/>
    </row>
    <row r="100" spans="2:24" hidden="1" x14ac:dyDescent="0.25">
      <c r="B100" s="17"/>
      <c r="C100" s="91"/>
      <c r="D100" s="94"/>
      <c r="E100" s="94"/>
      <c r="F100" s="94"/>
      <c r="G100" s="94"/>
      <c r="H100" s="94"/>
      <c r="I100" s="94"/>
      <c r="J100" s="94"/>
      <c r="K100" s="94"/>
      <c r="L100" s="94"/>
      <c r="M100" s="95"/>
      <c r="O100" s="81"/>
      <c r="P100" s="81"/>
      <c r="Q100" s="81"/>
      <c r="R100" s="81"/>
      <c r="S100" s="81"/>
      <c r="T100" s="81"/>
      <c r="U100" s="81"/>
      <c r="V100" s="81"/>
      <c r="W100" s="81"/>
      <c r="X100" s="81"/>
    </row>
    <row r="101" spans="2:24" hidden="1" x14ac:dyDescent="0.25">
      <c r="B101" s="17" t="s">
        <v>18</v>
      </c>
      <c r="C101" s="91"/>
      <c r="D101" s="94"/>
      <c r="E101" s="94"/>
      <c r="F101" s="94"/>
      <c r="G101" s="94"/>
      <c r="H101" s="94"/>
      <c r="I101" s="94"/>
      <c r="J101" s="94"/>
      <c r="K101" s="94"/>
      <c r="L101" s="94"/>
      <c r="M101" s="95"/>
      <c r="O101" s="81"/>
      <c r="P101" s="81"/>
      <c r="Q101" s="81"/>
      <c r="R101" s="81"/>
      <c r="S101" s="81"/>
      <c r="T101" s="81"/>
      <c r="U101" s="81"/>
      <c r="V101" s="81"/>
      <c r="W101" s="81"/>
      <c r="X101" s="81"/>
    </row>
    <row r="102" spans="2:24" hidden="1" x14ac:dyDescent="0.25">
      <c r="B102" s="17" t="s">
        <v>11</v>
      </c>
      <c r="C102" s="91">
        <v>2869551</v>
      </c>
      <c r="D102" s="92">
        <f t="shared" ref="D102:M102" si="39">((D32+D33+D34+D37+(0.5*D51))*D21)+((D35+D36)*D20)</f>
        <v>3039654.8628524845</v>
      </c>
      <c r="E102" s="92">
        <f t="shared" si="39"/>
        <v>3097598.8095520958</v>
      </c>
      <c r="F102" s="92">
        <f t="shared" si="39"/>
        <v>3151553.5002274979</v>
      </c>
      <c r="G102" s="92">
        <f t="shared" si="39"/>
        <v>3211717.5025433116</v>
      </c>
      <c r="H102" s="92">
        <f t="shared" si="39"/>
        <v>3267754.9207832152</v>
      </c>
      <c r="I102" s="92">
        <f t="shared" si="39"/>
        <v>3330224.4019041099</v>
      </c>
      <c r="J102" s="92">
        <f t="shared" si="39"/>
        <v>3393935.1121344795</v>
      </c>
      <c r="K102" s="92">
        <f t="shared" si="39"/>
        <v>3458911.7536488185</v>
      </c>
      <c r="L102" s="92">
        <f t="shared" si="39"/>
        <v>3525179.5208289986</v>
      </c>
      <c r="M102" s="93">
        <f t="shared" si="39"/>
        <v>3592764.1100808685</v>
      </c>
      <c r="O102" s="81"/>
      <c r="P102" s="81"/>
      <c r="Q102" s="81"/>
      <c r="R102" s="81"/>
      <c r="S102" s="81"/>
      <c r="T102" s="81"/>
      <c r="U102" s="81"/>
      <c r="V102" s="81"/>
      <c r="W102" s="81"/>
      <c r="X102" s="81"/>
    </row>
    <row r="103" spans="2:24" hidden="1" x14ac:dyDescent="0.25">
      <c r="B103" s="17" t="s">
        <v>12</v>
      </c>
      <c r="C103" s="91">
        <v>176793</v>
      </c>
      <c r="D103" s="92">
        <f t="shared" ref="D103:M103" si="40">(D39+D40+D41+(0.5*D52))*D21</f>
        <v>193636.93290671386</v>
      </c>
      <c r="E103" s="92">
        <f t="shared" si="40"/>
        <v>197403.57021153005</v>
      </c>
      <c r="F103" s="92">
        <f t="shared" si="40"/>
        <v>201320.47559796658</v>
      </c>
      <c r="G103" s="92">
        <f t="shared" si="40"/>
        <v>205237.54243232892</v>
      </c>
      <c r="H103" s="92">
        <f t="shared" si="40"/>
        <v>209310.53115624661</v>
      </c>
      <c r="I103" s="92">
        <f t="shared" si="40"/>
        <v>213384.04335874857</v>
      </c>
      <c r="J103" s="92">
        <f t="shared" si="40"/>
        <v>217537.54951602806</v>
      </c>
      <c r="K103" s="92">
        <f t="shared" si="40"/>
        <v>221772.62736284151</v>
      </c>
      <c r="L103" s="92">
        <f t="shared" si="40"/>
        <v>226090.88585647539</v>
      </c>
      <c r="M103" s="93">
        <f t="shared" si="40"/>
        <v>230493.96579621438</v>
      </c>
      <c r="O103" s="81"/>
      <c r="P103" s="81"/>
      <c r="Q103" s="81"/>
      <c r="R103" s="81"/>
      <c r="S103" s="81"/>
      <c r="T103" s="81"/>
      <c r="U103" s="81"/>
      <c r="V103" s="81"/>
      <c r="W103" s="81"/>
      <c r="X103" s="81"/>
    </row>
    <row r="104" spans="2:24" hidden="1" x14ac:dyDescent="0.25">
      <c r="B104" s="17" t="s">
        <v>13</v>
      </c>
      <c r="C104" s="91">
        <v>151688</v>
      </c>
      <c r="D104" s="92">
        <f t="shared" ref="D104:M104" si="41">(D43+D44+D45+(0.5*D53))*D21</f>
        <v>169021.12134126664</v>
      </c>
      <c r="E104" s="92">
        <f t="shared" si="41"/>
        <v>172310.60982097036</v>
      </c>
      <c r="F104" s="92">
        <f t="shared" si="41"/>
        <v>175737.5396047087</v>
      </c>
      <c r="G104" s="92">
        <f t="shared" si="41"/>
        <v>179158.45833920318</v>
      </c>
      <c r="H104" s="92">
        <f t="shared" si="41"/>
        <v>182721.97628199394</v>
      </c>
      <c r="I104" s="92">
        <f t="shared" si="41"/>
        <v>186279.58333625621</v>
      </c>
      <c r="J104" s="92">
        <f t="shared" si="41"/>
        <v>189907.02256203539</v>
      </c>
      <c r="K104" s="92">
        <f t="shared" si="41"/>
        <v>193605.67080321824</v>
      </c>
      <c r="L104" s="92">
        <f t="shared" si="41"/>
        <v>197376.93214357618</v>
      </c>
      <c r="M104" s="93">
        <f t="shared" si="41"/>
        <v>201222.2384471079</v>
      </c>
      <c r="O104" s="81"/>
      <c r="P104" s="81"/>
      <c r="Q104" s="81"/>
      <c r="R104" s="81"/>
      <c r="S104" s="81"/>
      <c r="T104" s="81"/>
      <c r="U104" s="81"/>
      <c r="V104" s="81"/>
      <c r="W104" s="81"/>
      <c r="X104" s="81"/>
    </row>
    <row r="105" spans="2:24" hidden="1" x14ac:dyDescent="0.25">
      <c r="B105" s="17"/>
      <c r="C105" s="91"/>
      <c r="D105" s="94"/>
      <c r="E105" s="94"/>
      <c r="F105" s="94"/>
      <c r="G105" s="94"/>
      <c r="H105" s="94"/>
      <c r="I105" s="94"/>
      <c r="J105" s="94"/>
      <c r="K105" s="94"/>
      <c r="L105" s="94"/>
      <c r="M105" s="95"/>
      <c r="O105" s="81"/>
      <c r="P105" s="81"/>
      <c r="Q105" s="81"/>
      <c r="R105" s="81"/>
      <c r="S105" s="81"/>
      <c r="T105" s="81"/>
      <c r="U105" s="81"/>
      <c r="V105" s="81"/>
      <c r="W105" s="81"/>
      <c r="X105" s="81"/>
    </row>
    <row r="106" spans="2:24" hidden="1" x14ac:dyDescent="0.25">
      <c r="B106" s="17"/>
      <c r="C106" s="22"/>
      <c r="D106" s="23"/>
      <c r="E106" s="23"/>
      <c r="F106" s="23"/>
      <c r="G106" s="23"/>
      <c r="H106" s="23"/>
      <c r="I106" s="23"/>
      <c r="J106" s="23"/>
      <c r="K106" s="23"/>
      <c r="L106" s="23"/>
      <c r="M106" s="24"/>
      <c r="O106" s="81"/>
      <c r="P106" s="81"/>
      <c r="Q106" s="81"/>
      <c r="R106" s="81"/>
      <c r="S106" s="81"/>
      <c r="T106" s="81"/>
      <c r="U106" s="81"/>
      <c r="V106" s="81"/>
      <c r="W106" s="81"/>
      <c r="X106" s="81"/>
    </row>
    <row r="107" spans="2:24" hidden="1" x14ac:dyDescent="0.25">
      <c r="B107" s="17"/>
      <c r="C107" s="22"/>
      <c r="D107" s="23"/>
      <c r="E107" s="23"/>
      <c r="F107" s="23"/>
      <c r="G107" s="23"/>
      <c r="H107" s="23"/>
      <c r="I107" s="23"/>
      <c r="J107" s="23"/>
      <c r="K107" s="23"/>
      <c r="L107" s="23"/>
      <c r="M107" s="24"/>
      <c r="O107" s="81"/>
      <c r="P107" s="81"/>
      <c r="Q107" s="81"/>
      <c r="R107" s="81"/>
      <c r="S107" s="81"/>
      <c r="T107" s="81"/>
      <c r="U107" s="81"/>
      <c r="V107" s="81"/>
      <c r="W107" s="81"/>
      <c r="X107" s="81"/>
    </row>
    <row r="108" spans="2:24" x14ac:dyDescent="0.25">
      <c r="B108" s="18" t="s">
        <v>72</v>
      </c>
      <c r="C108" s="14">
        <v>0</v>
      </c>
      <c r="D108" s="3">
        <f t="shared" ref="D108:M108" si="42">D25</f>
        <v>2.1499999999999998E-2</v>
      </c>
      <c r="E108" s="3">
        <f t="shared" si="42"/>
        <v>2.1999999999999999E-2</v>
      </c>
      <c r="F108" s="3">
        <f t="shared" si="42"/>
        <v>2.2499999999999999E-2</v>
      </c>
      <c r="G108" s="3">
        <f t="shared" si="42"/>
        <v>2.3E-2</v>
      </c>
      <c r="H108" s="3">
        <f t="shared" si="42"/>
        <v>2.3E-2</v>
      </c>
      <c r="I108" s="3">
        <f t="shared" si="42"/>
        <v>2.35E-2</v>
      </c>
      <c r="J108" s="3">
        <f t="shared" si="42"/>
        <v>2.2499999999999999E-2</v>
      </c>
      <c r="K108" s="3">
        <f t="shared" si="42"/>
        <v>2.2499999999999999E-2</v>
      </c>
      <c r="L108" s="3">
        <f t="shared" si="42"/>
        <v>2.1999999999999999E-2</v>
      </c>
      <c r="M108" s="29">
        <f t="shared" si="42"/>
        <v>2.1999999999999999E-2</v>
      </c>
      <c r="O108" s="81"/>
      <c r="P108" s="81"/>
      <c r="Q108" s="81"/>
      <c r="R108" s="81"/>
      <c r="S108" s="81"/>
      <c r="T108" s="81"/>
      <c r="U108" s="81"/>
      <c r="V108" s="81"/>
      <c r="W108" s="81"/>
      <c r="X108" s="81"/>
    </row>
    <row r="109" spans="2:24" x14ac:dyDescent="0.25">
      <c r="B109" s="18" t="s">
        <v>65</v>
      </c>
      <c r="C109" s="12">
        <v>1.4999999999999999E-2</v>
      </c>
      <c r="D109" s="77">
        <v>1.9174975379192521E-2</v>
      </c>
      <c r="E109" s="77">
        <v>3.1239938650559747E-2</v>
      </c>
      <c r="F109" s="77">
        <v>2.4494993566928368E-2</v>
      </c>
      <c r="G109" s="77">
        <v>2.1333489692914414E-2</v>
      </c>
      <c r="H109" s="77">
        <v>1.975054121518573E-2</v>
      </c>
      <c r="I109" s="77">
        <v>2.2246927590951298E-2</v>
      </c>
      <c r="J109" s="77">
        <v>2.1551735976643387E-2</v>
      </c>
      <c r="K109" s="77">
        <v>2.1521030022156086E-2</v>
      </c>
      <c r="L109" s="77">
        <v>2.1512810757090269E-2</v>
      </c>
      <c r="M109" s="78">
        <v>1.7267929429063571E-2</v>
      </c>
      <c r="O109" s="81"/>
      <c r="P109" s="81"/>
      <c r="Q109" s="81"/>
      <c r="R109" s="81"/>
      <c r="S109" s="81"/>
      <c r="T109" s="81"/>
      <c r="U109" s="81"/>
      <c r="V109" s="81"/>
      <c r="W109" s="81"/>
      <c r="X109" s="81"/>
    </row>
    <row r="110" spans="2:24" x14ac:dyDescent="0.25">
      <c r="B110" s="18" t="s">
        <v>63</v>
      </c>
      <c r="C110" s="12">
        <v>0.02</v>
      </c>
      <c r="D110" s="77">
        <v>2.4174449034148861E-2</v>
      </c>
      <c r="E110" s="77">
        <v>1.9579923219571201E-2</v>
      </c>
      <c r="F110" s="77">
        <v>4.6734588149012681E-3</v>
      </c>
      <c r="G110" s="77">
        <v>1.3489978513894557E-2</v>
      </c>
      <c r="H110" s="77">
        <v>1.9711170766663198E-2</v>
      </c>
      <c r="I110" s="77">
        <v>1.8597325745198765E-2</v>
      </c>
      <c r="J110" s="77">
        <v>2.03368929628823E-2</v>
      </c>
      <c r="K110" s="77">
        <v>1.6943778897702419E-2</v>
      </c>
      <c r="L110" s="77">
        <v>1.789088129023815E-2</v>
      </c>
      <c r="M110" s="78">
        <v>1.896620297654342E-2</v>
      </c>
      <c r="O110" s="81"/>
      <c r="P110" s="81"/>
      <c r="Q110" s="81"/>
      <c r="R110" s="81"/>
      <c r="S110" s="81"/>
      <c r="T110" s="81"/>
      <c r="U110" s="81"/>
      <c r="V110" s="81"/>
      <c r="W110" s="81"/>
      <c r="X110" s="81"/>
    </row>
    <row r="111" spans="2:24" x14ac:dyDescent="0.25">
      <c r="B111" s="18" t="s">
        <v>64</v>
      </c>
      <c r="C111" s="12">
        <v>0.02</v>
      </c>
      <c r="D111" s="77">
        <v>4.2886585052444547E-2</v>
      </c>
      <c r="E111" s="77">
        <v>3.7417547436430207E-2</v>
      </c>
      <c r="F111" s="77">
        <v>8.9274456712783255E-3</v>
      </c>
      <c r="G111" s="77">
        <v>1.2863908509413319E-2</v>
      </c>
      <c r="H111" s="77">
        <v>1.9055768221695205E-2</v>
      </c>
      <c r="I111" s="77">
        <v>1.4477213688712047E-2</v>
      </c>
      <c r="J111" s="77">
        <v>1.9756781189284367E-2</v>
      </c>
      <c r="K111" s="77">
        <v>2.1022997012559982E-2</v>
      </c>
      <c r="L111" s="77">
        <v>2.2039595434460144E-2</v>
      </c>
      <c r="M111" s="78">
        <v>2.9717455406154149E-3</v>
      </c>
      <c r="O111" s="81"/>
      <c r="P111" s="81"/>
      <c r="Q111" s="81"/>
      <c r="R111" s="81"/>
      <c r="S111" s="81"/>
      <c r="T111" s="81"/>
      <c r="U111" s="81"/>
      <c r="V111" s="81"/>
      <c r="W111" s="81"/>
      <c r="X111" s="81"/>
    </row>
    <row r="112" spans="2:24" ht="15.75" thickBot="1" x14ac:dyDescent="0.3">
      <c r="B112" s="90" t="s">
        <v>71</v>
      </c>
      <c r="C112" s="76">
        <v>0</v>
      </c>
      <c r="D112" s="79">
        <v>0</v>
      </c>
      <c r="E112" s="79">
        <v>0</v>
      </c>
      <c r="F112" s="79">
        <v>1.2317807042795509E-2</v>
      </c>
      <c r="G112" s="79">
        <v>2.2246864934183638E-2</v>
      </c>
      <c r="H112" s="79">
        <v>3.5952307661533428E-2</v>
      </c>
      <c r="I112" s="79">
        <v>2.2462834755955525E-2</v>
      </c>
      <c r="J112" s="79">
        <v>2.1528785674106345E-2</v>
      </c>
      <c r="K112" s="79">
        <v>2.1549254079264332E-2</v>
      </c>
      <c r="L112" s="79">
        <v>2.1089991765060934E-2</v>
      </c>
      <c r="M112" s="80">
        <v>2.1108787430806075E-2</v>
      </c>
      <c r="O112" s="81"/>
      <c r="P112" s="81"/>
      <c r="Q112" s="81"/>
      <c r="R112" s="81"/>
      <c r="S112" s="81"/>
      <c r="T112" s="81"/>
      <c r="U112" s="81"/>
      <c r="V112" s="81"/>
      <c r="W112" s="81"/>
      <c r="X112" s="81"/>
    </row>
    <row r="113" spans="1:24" ht="15.75" thickBot="1" x14ac:dyDescent="0.3">
      <c r="O113" s="81"/>
      <c r="P113" s="81"/>
      <c r="Q113" s="81"/>
      <c r="R113" s="81"/>
      <c r="S113" s="81"/>
      <c r="T113" s="81"/>
      <c r="U113" s="81"/>
      <c r="V113" s="81"/>
      <c r="W113" s="81"/>
      <c r="X113" s="81"/>
    </row>
    <row r="114" spans="1:24" ht="21" outlineLevel="1" x14ac:dyDescent="0.35">
      <c r="A114" s="104"/>
      <c r="B114" s="101" t="s">
        <v>83</v>
      </c>
      <c r="C114" s="102"/>
      <c r="D114" s="102"/>
      <c r="E114" s="102"/>
      <c r="F114" s="102"/>
      <c r="G114" s="102"/>
      <c r="H114" s="102"/>
      <c r="I114" s="102"/>
      <c r="J114" s="102"/>
      <c r="K114" s="102"/>
      <c r="L114" s="102"/>
      <c r="M114" s="103"/>
      <c r="N114" s="82"/>
      <c r="O114" s="83"/>
      <c r="P114" s="83"/>
      <c r="Q114" s="83"/>
      <c r="R114" s="83"/>
      <c r="S114" s="83"/>
      <c r="T114" s="83"/>
      <c r="U114" s="83"/>
    </row>
    <row r="115" spans="1:24" outlineLevel="1" x14ac:dyDescent="0.25">
      <c r="A115" s="104"/>
      <c r="B115" s="43"/>
      <c r="C115" s="44"/>
      <c r="D115" s="45"/>
      <c r="E115" s="45"/>
      <c r="F115" s="45"/>
      <c r="G115" s="45"/>
      <c r="H115" s="45"/>
      <c r="I115" s="45"/>
      <c r="J115" s="45"/>
      <c r="K115" s="45"/>
      <c r="L115" s="45"/>
      <c r="M115" s="46"/>
      <c r="N115" s="82"/>
      <c r="O115" s="83"/>
      <c r="P115" s="83"/>
      <c r="Q115" s="83"/>
      <c r="R115" s="83"/>
      <c r="S115" s="83"/>
      <c r="T115" s="83"/>
      <c r="U115" s="83"/>
    </row>
    <row r="116" spans="1:24" ht="15.75" outlineLevel="1" x14ac:dyDescent="0.25">
      <c r="A116" s="104"/>
      <c r="B116" s="43"/>
      <c r="C116" s="71">
        <v>2024</v>
      </c>
      <c r="D116" s="71">
        <v>2025</v>
      </c>
      <c r="E116" s="71">
        <v>2026</v>
      </c>
      <c r="F116" s="71">
        <v>2027</v>
      </c>
      <c r="G116" s="71">
        <v>2028</v>
      </c>
      <c r="H116" s="71">
        <v>2029</v>
      </c>
      <c r="I116" s="71">
        <v>2030</v>
      </c>
      <c r="J116" s="71">
        <v>2031</v>
      </c>
      <c r="K116" s="71">
        <v>2032</v>
      </c>
      <c r="L116" s="71">
        <v>2033</v>
      </c>
      <c r="M116" s="72">
        <v>2034</v>
      </c>
      <c r="N116" s="82"/>
      <c r="O116" s="83"/>
      <c r="P116" s="83"/>
      <c r="Q116" s="83"/>
      <c r="R116" s="83"/>
      <c r="S116" s="83"/>
      <c r="T116" s="83"/>
      <c r="U116" s="83"/>
    </row>
    <row r="117" spans="1:24" outlineLevel="1" x14ac:dyDescent="0.25">
      <c r="A117" s="104"/>
      <c r="B117" s="43" t="s">
        <v>48</v>
      </c>
      <c r="C117" s="44"/>
      <c r="D117" s="45"/>
      <c r="E117" s="45"/>
      <c r="F117" s="45"/>
      <c r="G117" s="45"/>
      <c r="H117" s="45"/>
      <c r="I117" s="45"/>
      <c r="J117" s="45"/>
      <c r="K117" s="45"/>
      <c r="L117" s="45"/>
      <c r="M117" s="46"/>
      <c r="N117" s="82"/>
      <c r="O117" s="83"/>
      <c r="P117" s="83"/>
      <c r="Q117" s="83"/>
      <c r="R117" s="83"/>
      <c r="S117" s="83"/>
      <c r="T117" s="83"/>
      <c r="U117" s="83"/>
    </row>
    <row r="118" spans="1:24" outlineLevel="1" x14ac:dyDescent="0.25">
      <c r="A118" s="104"/>
      <c r="B118" s="49" t="s">
        <v>49</v>
      </c>
      <c r="C118" s="44">
        <v>13482810</v>
      </c>
      <c r="D118" s="44">
        <f>C118*(1+D109)</f>
        <v>13741342.549792331</v>
      </c>
      <c r="E118" s="44">
        <f t="shared" ref="E118:M118" si="43">D118*(1+E109)</f>
        <v>14170621.248024169</v>
      </c>
      <c r="F118" s="44">
        <f t="shared" si="43"/>
        <v>14517730.524333898</v>
      </c>
      <c r="G118" s="44">
        <f t="shared" si="43"/>
        <v>14827444.378839286</v>
      </c>
      <c r="H118" s="44">
        <f t="shared" si="43"/>
        <v>15120294.430159425</v>
      </c>
      <c r="I118" s="44">
        <f t="shared" si="43"/>
        <v>15456674.525501048</v>
      </c>
      <c r="J118" s="44">
        <f t="shared" si="43"/>
        <v>15789792.693951555</v>
      </c>
      <c r="K118" s="44">
        <f t="shared" si="43"/>
        <v>16129605.296561705</v>
      </c>
      <c r="L118" s="44">
        <f t="shared" si="43"/>
        <v>16476598.4428932</v>
      </c>
      <c r="M118" s="50">
        <f t="shared" si="43"/>
        <v>16761115.1820361</v>
      </c>
      <c r="N118" s="82"/>
      <c r="O118" s="83"/>
      <c r="P118" s="83"/>
      <c r="Q118" s="83"/>
      <c r="R118" s="83"/>
      <c r="S118" s="83"/>
      <c r="T118" s="83"/>
      <c r="U118" s="83"/>
    </row>
    <row r="119" spans="1:24" outlineLevel="1" x14ac:dyDescent="0.25">
      <c r="A119" s="104"/>
      <c r="B119" s="49" t="s">
        <v>50</v>
      </c>
      <c r="C119" s="44">
        <v>8084608</v>
      </c>
      <c r="D119" s="44">
        <f t="shared" ref="D119:M119" si="44">C119*(1+D25)</f>
        <v>8258427.0720000006</v>
      </c>
      <c r="E119" s="44">
        <f t="shared" si="44"/>
        <v>8440112.4675840009</v>
      </c>
      <c r="F119" s="44">
        <f t="shared" si="44"/>
        <v>8630014.9981046412</v>
      </c>
      <c r="G119" s="44">
        <f t="shared" si="44"/>
        <v>8828505.3430610467</v>
      </c>
      <c r="H119" s="44">
        <f t="shared" si="44"/>
        <v>9031560.9659514502</v>
      </c>
      <c r="I119" s="44">
        <f t="shared" si="44"/>
        <v>9243802.6486513093</v>
      </c>
      <c r="J119" s="44">
        <f t="shared" si="44"/>
        <v>9451788.2082459629</v>
      </c>
      <c r="K119" s="44">
        <f t="shared" si="44"/>
        <v>9664453.4429314975</v>
      </c>
      <c r="L119" s="44">
        <f t="shared" si="44"/>
        <v>9877071.4186759908</v>
      </c>
      <c r="M119" s="50">
        <f t="shared" si="44"/>
        <v>10094366.989886863</v>
      </c>
      <c r="N119" s="82"/>
      <c r="O119" s="83"/>
      <c r="P119" s="83"/>
      <c r="Q119" s="83"/>
      <c r="R119" s="83"/>
      <c r="S119" s="83"/>
      <c r="T119" s="83"/>
      <c r="U119" s="83"/>
    </row>
    <row r="120" spans="1:24" outlineLevel="1" x14ac:dyDescent="0.25">
      <c r="A120" s="104"/>
      <c r="B120" s="49" t="s">
        <v>51</v>
      </c>
      <c r="C120" s="44">
        <v>2650525</v>
      </c>
      <c r="D120" s="44">
        <f>C120</f>
        <v>2650525</v>
      </c>
      <c r="E120" s="44">
        <f t="shared" ref="E120:M120" si="45">D120</f>
        <v>2650525</v>
      </c>
      <c r="F120" s="44">
        <f t="shared" si="45"/>
        <v>2650525</v>
      </c>
      <c r="G120" s="44">
        <f t="shared" si="45"/>
        <v>2650525</v>
      </c>
      <c r="H120" s="44">
        <f t="shared" si="45"/>
        <v>2650525</v>
      </c>
      <c r="I120" s="44">
        <f t="shared" si="45"/>
        <v>2650525</v>
      </c>
      <c r="J120" s="44">
        <f t="shared" si="45"/>
        <v>2650525</v>
      </c>
      <c r="K120" s="44">
        <f t="shared" si="45"/>
        <v>2650525</v>
      </c>
      <c r="L120" s="44">
        <f t="shared" si="45"/>
        <v>2650525</v>
      </c>
      <c r="M120" s="50">
        <f t="shared" si="45"/>
        <v>2650525</v>
      </c>
      <c r="N120" s="82"/>
      <c r="O120" s="83"/>
      <c r="P120" s="83"/>
      <c r="Q120" s="83"/>
      <c r="R120" s="83"/>
      <c r="S120" s="83"/>
      <c r="T120" s="83"/>
      <c r="U120" s="83"/>
    </row>
    <row r="121" spans="1:24" outlineLevel="1" x14ac:dyDescent="0.25">
      <c r="A121" s="104"/>
      <c r="B121" s="49" t="s">
        <v>54</v>
      </c>
      <c r="C121" s="44">
        <v>625333</v>
      </c>
      <c r="D121" s="44">
        <f>C121*(1+(D25))</f>
        <v>638777.65950000007</v>
      </c>
      <c r="E121" s="44">
        <f t="shared" ref="E121:M121" si="46">D121*(1+(E25))</f>
        <v>652830.76800900011</v>
      </c>
      <c r="F121" s="44">
        <f t="shared" si="46"/>
        <v>667519.46028920263</v>
      </c>
      <c r="G121" s="44">
        <f t="shared" si="46"/>
        <v>682872.40787585417</v>
      </c>
      <c r="H121" s="44">
        <f t="shared" si="46"/>
        <v>698578.47325699881</v>
      </c>
      <c r="I121" s="44">
        <f t="shared" si="46"/>
        <v>714995.06737853831</v>
      </c>
      <c r="J121" s="44">
        <f t="shared" si="46"/>
        <v>731082.4563945554</v>
      </c>
      <c r="K121" s="44">
        <f t="shared" si="46"/>
        <v>747531.81166343286</v>
      </c>
      <c r="L121" s="44">
        <f t="shared" si="46"/>
        <v>763977.51152002835</v>
      </c>
      <c r="M121" s="44">
        <f t="shared" si="46"/>
        <v>780785.01677346893</v>
      </c>
      <c r="N121" s="82"/>
      <c r="O121" s="83"/>
      <c r="P121" s="83"/>
      <c r="Q121" s="83"/>
      <c r="R121" s="83"/>
      <c r="S121" s="83"/>
      <c r="T121" s="83"/>
      <c r="U121" s="83"/>
    </row>
    <row r="122" spans="1:24" outlineLevel="1" x14ac:dyDescent="0.25">
      <c r="A122" s="104"/>
      <c r="B122" s="49" t="s">
        <v>53</v>
      </c>
      <c r="C122" s="44">
        <f>29438362-C118-C119-C120-C121-C123-C125-C126-C124</f>
        <v>1834177</v>
      </c>
      <c r="D122" s="44">
        <f t="shared" ref="D122:M122" si="47">C122*(1+(D25/2))</f>
        <v>1853894.4027500001</v>
      </c>
      <c r="E122" s="44">
        <f t="shared" si="47"/>
        <v>1874287.24118025</v>
      </c>
      <c r="F122" s="44">
        <f t="shared" si="47"/>
        <v>1895372.9726435277</v>
      </c>
      <c r="G122" s="44">
        <f t="shared" si="47"/>
        <v>1917169.7618289283</v>
      </c>
      <c r="H122" s="44">
        <f t="shared" si="47"/>
        <v>1939217.214089961</v>
      </c>
      <c r="I122" s="44">
        <f t="shared" si="47"/>
        <v>1962003.016355518</v>
      </c>
      <c r="J122" s="44">
        <f t="shared" si="47"/>
        <v>1984075.5502895175</v>
      </c>
      <c r="K122" s="44">
        <f t="shared" si="47"/>
        <v>2006396.4002302745</v>
      </c>
      <c r="L122" s="44">
        <f t="shared" si="47"/>
        <v>2028466.7606328074</v>
      </c>
      <c r="M122" s="50">
        <f t="shared" si="47"/>
        <v>2050779.8949997681</v>
      </c>
      <c r="N122" s="82"/>
      <c r="O122" s="83"/>
      <c r="P122" s="83"/>
      <c r="Q122" s="83"/>
      <c r="R122" s="83"/>
      <c r="S122" s="83"/>
      <c r="T122" s="83"/>
      <c r="U122" s="83"/>
    </row>
    <row r="123" spans="1:24" outlineLevel="1" x14ac:dyDescent="0.25">
      <c r="A123" s="104"/>
      <c r="B123" s="49" t="s">
        <v>75</v>
      </c>
      <c r="C123" s="44">
        <v>700000</v>
      </c>
      <c r="D123" s="44">
        <f t="shared" ref="D123:M123" si="48">C123*(1+(D25/2))</f>
        <v>707525</v>
      </c>
      <c r="E123" s="44">
        <f t="shared" si="48"/>
        <v>715307.77499999991</v>
      </c>
      <c r="F123" s="44">
        <f t="shared" si="48"/>
        <v>723354.98746874987</v>
      </c>
      <c r="G123" s="44">
        <f t="shared" si="48"/>
        <v>731673.56982464052</v>
      </c>
      <c r="H123" s="44">
        <f t="shared" si="48"/>
        <v>740087.81587762397</v>
      </c>
      <c r="I123" s="44">
        <f t="shared" si="48"/>
        <v>748783.84771418595</v>
      </c>
      <c r="J123" s="44">
        <f t="shared" si="48"/>
        <v>757207.66600097052</v>
      </c>
      <c r="K123" s="44">
        <f t="shared" si="48"/>
        <v>765726.25224348146</v>
      </c>
      <c r="L123" s="44">
        <f t="shared" si="48"/>
        <v>774149.24101815966</v>
      </c>
      <c r="M123" s="50">
        <f t="shared" si="48"/>
        <v>782664.88266935933</v>
      </c>
      <c r="N123" s="82"/>
      <c r="O123" s="83"/>
      <c r="P123" s="83"/>
      <c r="Q123" s="83"/>
      <c r="R123" s="83"/>
      <c r="S123" s="83"/>
      <c r="T123" s="83"/>
      <c r="U123" s="83"/>
    </row>
    <row r="124" spans="1:24" outlineLevel="1" x14ac:dyDescent="0.25">
      <c r="A124" s="104"/>
      <c r="B124" s="49" t="s">
        <v>76</v>
      </c>
      <c r="C124" s="44">
        <v>1025786</v>
      </c>
      <c r="D124" s="44">
        <f t="shared" ref="D124:M124" si="49">C124*(1+D25)</f>
        <v>1047840.3990000001</v>
      </c>
      <c r="E124" s="44">
        <f t="shared" si="49"/>
        <v>1070892.8877780002</v>
      </c>
      <c r="F124" s="44">
        <f t="shared" si="49"/>
        <v>1094987.9777530052</v>
      </c>
      <c r="G124" s="44">
        <f t="shared" si="49"/>
        <v>1120172.7012413242</v>
      </c>
      <c r="H124" s="44">
        <f t="shared" si="49"/>
        <v>1145936.6733698745</v>
      </c>
      <c r="I124" s="44">
        <f t="shared" si="49"/>
        <v>1172866.1851940667</v>
      </c>
      <c r="J124" s="44">
        <f t="shared" si="49"/>
        <v>1199255.6743609332</v>
      </c>
      <c r="K124" s="44">
        <f t="shared" si="49"/>
        <v>1226238.9270340542</v>
      </c>
      <c r="L124" s="44">
        <f t="shared" si="49"/>
        <v>1253216.1834288035</v>
      </c>
      <c r="M124" s="44">
        <f t="shared" si="49"/>
        <v>1280786.9394642371</v>
      </c>
      <c r="N124" s="82"/>
      <c r="O124" s="83"/>
      <c r="P124" s="83"/>
      <c r="Q124" s="83"/>
      <c r="R124" s="83"/>
      <c r="S124" s="83"/>
      <c r="T124" s="83"/>
      <c r="U124" s="83"/>
    </row>
    <row r="125" spans="1:24" outlineLevel="1" x14ac:dyDescent="0.25">
      <c r="A125" s="104"/>
      <c r="B125" s="49" t="s">
        <v>31</v>
      </c>
      <c r="C125" s="44">
        <v>320000</v>
      </c>
      <c r="D125" s="44">
        <f>C125</f>
        <v>320000</v>
      </c>
      <c r="E125" s="44">
        <f>D125</f>
        <v>320000</v>
      </c>
      <c r="F125" s="44">
        <f t="shared" ref="F125:M125" si="50">E125</f>
        <v>320000</v>
      </c>
      <c r="G125" s="44">
        <f t="shared" si="50"/>
        <v>320000</v>
      </c>
      <c r="H125" s="44">
        <f t="shared" si="50"/>
        <v>320000</v>
      </c>
      <c r="I125" s="44">
        <f t="shared" si="50"/>
        <v>320000</v>
      </c>
      <c r="J125" s="44">
        <f t="shared" si="50"/>
        <v>320000</v>
      </c>
      <c r="K125" s="44">
        <f t="shared" si="50"/>
        <v>320000</v>
      </c>
      <c r="L125" s="44">
        <f t="shared" si="50"/>
        <v>320000</v>
      </c>
      <c r="M125" s="50">
        <f t="shared" si="50"/>
        <v>320000</v>
      </c>
      <c r="N125" s="82"/>
      <c r="O125" s="83"/>
      <c r="P125" s="83"/>
      <c r="Q125" s="83"/>
      <c r="R125" s="83"/>
      <c r="S125" s="83"/>
      <c r="T125" s="83"/>
      <c r="U125" s="83"/>
    </row>
    <row r="126" spans="1:24" outlineLevel="1" x14ac:dyDescent="0.25">
      <c r="A126" s="104"/>
      <c r="B126" s="49" t="s">
        <v>56</v>
      </c>
      <c r="C126" s="44">
        <v>715123</v>
      </c>
      <c r="D126" s="44">
        <v>250000</v>
      </c>
      <c r="E126" s="44">
        <v>100000</v>
      </c>
      <c r="F126" s="44">
        <v>0</v>
      </c>
      <c r="G126" s="44">
        <v>0</v>
      </c>
      <c r="H126" s="44">
        <v>0</v>
      </c>
      <c r="I126" s="44">
        <v>0</v>
      </c>
      <c r="J126" s="44">
        <v>0</v>
      </c>
      <c r="K126" s="44">
        <v>0</v>
      </c>
      <c r="L126" s="44">
        <v>0</v>
      </c>
      <c r="M126" s="50">
        <v>0</v>
      </c>
      <c r="N126" s="82"/>
      <c r="O126" s="83"/>
      <c r="P126" s="83"/>
      <c r="Q126" s="83"/>
      <c r="R126" s="83"/>
      <c r="S126" s="83"/>
      <c r="T126" s="83"/>
      <c r="U126" s="83"/>
    </row>
    <row r="127" spans="1:24" outlineLevel="1" x14ac:dyDescent="0.25">
      <c r="A127" s="104"/>
      <c r="B127" s="51" t="s">
        <v>55</v>
      </c>
      <c r="C127" s="52">
        <f>SUM(C118:C126)</f>
        <v>29438362</v>
      </c>
      <c r="D127" s="52">
        <f t="shared" ref="D127:M127" si="51">SUM(D118:D126)</f>
        <v>29468332.083042331</v>
      </c>
      <c r="E127" s="52">
        <f t="shared" si="51"/>
        <v>29994577.387575418</v>
      </c>
      <c r="F127" s="52">
        <f t="shared" si="51"/>
        <v>30499505.920593027</v>
      </c>
      <c r="G127" s="52">
        <f t="shared" si="51"/>
        <v>31078363.162671082</v>
      </c>
      <c r="H127" s="52">
        <f t="shared" si="51"/>
        <v>31646200.572705332</v>
      </c>
      <c r="I127" s="52">
        <f t="shared" si="51"/>
        <v>32269650.290794671</v>
      </c>
      <c r="J127" s="52">
        <f t="shared" si="51"/>
        <v>32883727.249243498</v>
      </c>
      <c r="K127" s="52">
        <f t="shared" si="51"/>
        <v>33510477.130664445</v>
      </c>
      <c r="L127" s="52">
        <f t="shared" si="51"/>
        <v>34144004.558168985</v>
      </c>
      <c r="M127" s="53">
        <f t="shared" si="51"/>
        <v>34721023.905829795</v>
      </c>
      <c r="N127" s="82"/>
      <c r="O127" s="83"/>
      <c r="P127" s="83"/>
      <c r="Q127" s="83"/>
      <c r="R127" s="83"/>
      <c r="S127" s="83"/>
      <c r="T127" s="83"/>
      <c r="U127" s="83"/>
    </row>
    <row r="128" spans="1:24" outlineLevel="1" x14ac:dyDescent="0.25">
      <c r="A128" s="104"/>
      <c r="B128" s="43"/>
      <c r="C128" s="44"/>
      <c r="D128" s="44"/>
      <c r="E128" s="44"/>
      <c r="F128" s="44"/>
      <c r="G128" s="44"/>
      <c r="H128" s="44"/>
      <c r="I128" s="44"/>
      <c r="J128" s="44"/>
      <c r="K128" s="44"/>
      <c r="L128" s="44"/>
      <c r="M128" s="50"/>
      <c r="N128" s="82"/>
      <c r="O128" s="83"/>
      <c r="P128" s="83"/>
      <c r="Q128" s="83"/>
      <c r="R128" s="83"/>
      <c r="S128" s="83"/>
      <c r="T128" s="83"/>
      <c r="U128" s="83"/>
    </row>
    <row r="129" spans="1:21" outlineLevel="1" x14ac:dyDescent="0.25">
      <c r="A129" s="104"/>
      <c r="B129" s="43" t="s">
        <v>57</v>
      </c>
      <c r="C129" s="44"/>
      <c r="D129" s="44"/>
      <c r="E129" s="44"/>
      <c r="F129" s="44"/>
      <c r="G129" s="44"/>
      <c r="H129" s="44"/>
      <c r="I129" s="44"/>
      <c r="J129" s="44"/>
      <c r="K129" s="44"/>
      <c r="L129" s="44"/>
      <c r="M129" s="50"/>
      <c r="N129" s="82"/>
      <c r="O129" s="83"/>
      <c r="P129" s="83"/>
      <c r="Q129" s="83"/>
      <c r="R129" s="83"/>
      <c r="S129" s="83"/>
      <c r="T129" s="83"/>
      <c r="U129" s="83"/>
    </row>
    <row r="130" spans="1:21" outlineLevel="1" x14ac:dyDescent="0.25">
      <c r="A130" s="104"/>
      <c r="B130" s="51" t="s">
        <v>25</v>
      </c>
      <c r="C130" s="47"/>
      <c r="D130" s="47"/>
      <c r="E130" s="47"/>
      <c r="F130" s="47"/>
      <c r="G130" s="47"/>
      <c r="H130" s="47"/>
      <c r="I130" s="47"/>
      <c r="J130" s="47"/>
      <c r="K130" s="47"/>
      <c r="L130" s="47"/>
      <c r="M130" s="48"/>
      <c r="N130" s="82"/>
      <c r="O130" s="83"/>
      <c r="P130" s="83"/>
      <c r="Q130" s="83"/>
      <c r="R130" s="83"/>
      <c r="S130" s="83"/>
      <c r="T130" s="83"/>
      <c r="U130" s="83"/>
    </row>
    <row r="131" spans="1:21" outlineLevel="1" x14ac:dyDescent="0.25">
      <c r="A131" s="104"/>
      <c r="B131" s="54" t="s">
        <v>1</v>
      </c>
      <c r="C131" s="44">
        <f t="shared" ref="C131:M131" si="52">C32</f>
        <v>1395342.0442259996</v>
      </c>
      <c r="D131" s="44">
        <f t="shared" si="52"/>
        <v>1423248.8851105196</v>
      </c>
      <c r="E131" s="44">
        <f t="shared" si="52"/>
        <v>1451713.86281273</v>
      </c>
      <c r="F131" s="44">
        <f t="shared" si="52"/>
        <v>1480748.1400689846</v>
      </c>
      <c r="G131" s="44">
        <f t="shared" si="52"/>
        <v>1510363.1028703642</v>
      </c>
      <c r="H131" s="44">
        <f t="shared" si="52"/>
        <v>1540570.3649277715</v>
      </c>
      <c r="I131" s="44">
        <f t="shared" si="52"/>
        <v>1571381.7722263269</v>
      </c>
      <c r="J131" s="44">
        <f t="shared" si="52"/>
        <v>1602809.4076708534</v>
      </c>
      <c r="K131" s="44">
        <f t="shared" si="52"/>
        <v>1634865.5958242705</v>
      </c>
      <c r="L131" s="44">
        <f t="shared" si="52"/>
        <v>1667562.9077407559</v>
      </c>
      <c r="M131" s="50">
        <f t="shared" si="52"/>
        <v>1700914.165895571</v>
      </c>
      <c r="N131" s="82"/>
      <c r="O131" s="83"/>
      <c r="P131" s="83"/>
      <c r="Q131" s="83"/>
      <c r="R131" s="83"/>
      <c r="S131" s="83"/>
      <c r="T131" s="83"/>
      <c r="U131" s="83"/>
    </row>
    <row r="132" spans="1:21" outlineLevel="1" x14ac:dyDescent="0.25">
      <c r="A132" s="104"/>
      <c r="B132" s="54" t="s">
        <v>2</v>
      </c>
      <c r="C132" s="44">
        <f t="shared" ref="C132:M132" si="53">C33</f>
        <v>1086256.5379945345</v>
      </c>
      <c r="D132" s="44">
        <f t="shared" si="53"/>
        <v>1107981.6687544251</v>
      </c>
      <c r="E132" s="44">
        <f t="shared" si="53"/>
        <v>1130141.3021295136</v>
      </c>
      <c r="F132" s="44">
        <f t="shared" si="53"/>
        <v>1152744.1281721038</v>
      </c>
      <c r="G132" s="44">
        <f t="shared" si="53"/>
        <v>1175799.0107355458</v>
      </c>
      <c r="H132" s="44">
        <f t="shared" si="53"/>
        <v>1199314.9909502568</v>
      </c>
      <c r="I132" s="44">
        <f t="shared" si="53"/>
        <v>1223301.290769262</v>
      </c>
      <c r="J132" s="44">
        <f t="shared" si="53"/>
        <v>1247767.3165846472</v>
      </c>
      <c r="K132" s="44">
        <f t="shared" si="53"/>
        <v>1272722.6629163402</v>
      </c>
      <c r="L132" s="44">
        <f t="shared" si="53"/>
        <v>1298177.1161746669</v>
      </c>
      <c r="M132" s="50">
        <f t="shared" si="53"/>
        <v>1324140.6584981603</v>
      </c>
      <c r="N132" s="82"/>
      <c r="O132" s="83"/>
      <c r="P132" s="83"/>
      <c r="Q132" s="83"/>
      <c r="R132" s="83"/>
      <c r="S132" s="83"/>
      <c r="T132" s="83"/>
      <c r="U132" s="83"/>
    </row>
    <row r="133" spans="1:21" outlineLevel="1" x14ac:dyDescent="0.25">
      <c r="A133" s="104"/>
      <c r="B133" s="54" t="s">
        <v>3</v>
      </c>
      <c r="C133" s="44">
        <f t="shared" ref="C133:M133" si="54">C34</f>
        <v>592667.44919308496</v>
      </c>
      <c r="D133" s="44">
        <f t="shared" si="54"/>
        <v>604520.7981769467</v>
      </c>
      <c r="E133" s="44">
        <f t="shared" si="54"/>
        <v>613588.61014960089</v>
      </c>
      <c r="F133" s="44">
        <f t="shared" si="54"/>
        <v>625860.38235259289</v>
      </c>
      <c r="G133" s="44">
        <f t="shared" si="54"/>
        <v>635248.28808788175</v>
      </c>
      <c r="H133" s="44">
        <f t="shared" si="54"/>
        <v>647953.25384963944</v>
      </c>
      <c r="I133" s="44">
        <f t="shared" si="54"/>
        <v>657672.55265738396</v>
      </c>
      <c r="J133" s="44">
        <f t="shared" si="54"/>
        <v>667537.64094724471</v>
      </c>
      <c r="K133" s="44">
        <f t="shared" si="54"/>
        <v>677550.70556145336</v>
      </c>
      <c r="L133" s="44">
        <f t="shared" si="54"/>
        <v>687713.96614487504</v>
      </c>
      <c r="M133" s="50">
        <f t="shared" si="54"/>
        <v>698029.67563704809</v>
      </c>
      <c r="N133" s="82"/>
      <c r="O133" s="83"/>
      <c r="P133" s="83"/>
      <c r="Q133" s="83"/>
      <c r="R133" s="83"/>
      <c r="S133" s="83"/>
      <c r="T133" s="83"/>
      <c r="U133" s="83"/>
    </row>
    <row r="134" spans="1:21" outlineLevel="1" x14ac:dyDescent="0.25">
      <c r="A134" s="104"/>
      <c r="B134" s="54" t="s">
        <v>4</v>
      </c>
      <c r="C134" s="44">
        <f t="shared" ref="C134:M134" si="55">C35</f>
        <v>3280077.4782774821</v>
      </c>
      <c r="D134" s="44">
        <f t="shared" si="55"/>
        <v>3329278.6404516441</v>
      </c>
      <c r="E134" s="44">
        <f t="shared" si="55"/>
        <v>3395864.2132606772</v>
      </c>
      <c r="F134" s="44">
        <f t="shared" si="55"/>
        <v>3446802.1764595872</v>
      </c>
      <c r="G134" s="44">
        <f t="shared" si="55"/>
        <v>3515738.2199887792</v>
      </c>
      <c r="H134" s="44">
        <f t="shared" si="55"/>
        <v>3568474.2932886104</v>
      </c>
      <c r="I134" s="44">
        <f t="shared" si="55"/>
        <v>3639843.7791543826</v>
      </c>
      <c r="J134" s="44">
        <f t="shared" si="55"/>
        <v>3712640.6547374702</v>
      </c>
      <c r="K134" s="44">
        <f t="shared" si="55"/>
        <v>3786893.4678322198</v>
      </c>
      <c r="L134" s="44">
        <f t="shared" si="55"/>
        <v>3862631.3371888641</v>
      </c>
      <c r="M134" s="50">
        <f t="shared" si="55"/>
        <v>3939883.9639326413</v>
      </c>
      <c r="N134" s="82"/>
      <c r="O134" s="83"/>
      <c r="P134" s="83"/>
      <c r="Q134" s="83"/>
      <c r="R134" s="83"/>
      <c r="S134" s="83"/>
      <c r="T134" s="83"/>
      <c r="U134" s="83"/>
    </row>
    <row r="135" spans="1:21" outlineLevel="1" x14ac:dyDescent="0.25">
      <c r="A135" s="104"/>
      <c r="B135" s="54" t="s">
        <v>5</v>
      </c>
      <c r="C135" s="44">
        <f t="shared" ref="C135:M135" si="56">C36</f>
        <v>3745055.6965486086</v>
      </c>
      <c r="D135" s="44">
        <f t="shared" si="56"/>
        <v>3819956.8104795809</v>
      </c>
      <c r="E135" s="44">
        <f t="shared" si="56"/>
        <v>3896355.9466891726</v>
      </c>
      <c r="F135" s="44">
        <f t="shared" si="56"/>
        <v>3974283.065622956</v>
      </c>
      <c r="G135" s="44">
        <f t="shared" si="56"/>
        <v>4053768.7269354151</v>
      </c>
      <c r="H135" s="44">
        <f t="shared" si="56"/>
        <v>4134844.1014741235</v>
      </c>
      <c r="I135" s="44">
        <f t="shared" si="56"/>
        <v>4217540.9835036062</v>
      </c>
      <c r="J135" s="44">
        <f t="shared" si="56"/>
        <v>4301891.803173678</v>
      </c>
      <c r="K135" s="44">
        <f t="shared" si="56"/>
        <v>4387929.6392371515</v>
      </c>
      <c r="L135" s="44">
        <f t="shared" si="56"/>
        <v>4475688.2320218943</v>
      </c>
      <c r="M135" s="50">
        <f t="shared" si="56"/>
        <v>4565201.9966623327</v>
      </c>
      <c r="N135" s="82"/>
      <c r="O135" s="83"/>
      <c r="P135" s="83"/>
      <c r="Q135" s="83"/>
      <c r="R135" s="83"/>
      <c r="S135" s="83"/>
      <c r="T135" s="83"/>
      <c r="U135" s="83"/>
    </row>
    <row r="136" spans="1:21" outlineLevel="1" x14ac:dyDescent="0.25">
      <c r="A136" s="104"/>
      <c r="B136" s="54" t="s">
        <v>6</v>
      </c>
      <c r="C136" s="44">
        <f>C37</f>
        <v>717865</v>
      </c>
      <c r="D136" s="44">
        <f t="shared" ref="D136:M136" si="57">D37</f>
        <v>717865</v>
      </c>
      <c r="E136" s="44">
        <f t="shared" si="57"/>
        <v>717865</v>
      </c>
      <c r="F136" s="44">
        <f t="shared" si="57"/>
        <v>717865</v>
      </c>
      <c r="G136" s="44">
        <f t="shared" si="57"/>
        <v>717865</v>
      </c>
      <c r="H136" s="44">
        <f t="shared" si="57"/>
        <v>717865</v>
      </c>
      <c r="I136" s="44">
        <f t="shared" si="57"/>
        <v>717865</v>
      </c>
      <c r="J136" s="44">
        <f t="shared" si="57"/>
        <v>717865</v>
      </c>
      <c r="K136" s="44">
        <f t="shared" si="57"/>
        <v>717865</v>
      </c>
      <c r="L136" s="44">
        <f t="shared" si="57"/>
        <v>717865</v>
      </c>
      <c r="M136" s="50">
        <f t="shared" si="57"/>
        <v>717865</v>
      </c>
      <c r="N136" s="82"/>
      <c r="O136" s="83"/>
      <c r="P136" s="83"/>
      <c r="Q136" s="83"/>
      <c r="R136" s="83"/>
      <c r="S136" s="83"/>
      <c r="T136" s="83"/>
      <c r="U136" s="83"/>
    </row>
    <row r="137" spans="1:21" outlineLevel="1" x14ac:dyDescent="0.25">
      <c r="A137" s="104"/>
      <c r="B137" s="54" t="s">
        <v>26</v>
      </c>
      <c r="C137" s="44">
        <f>C51</f>
        <v>2277905.7937602908</v>
      </c>
      <c r="D137" s="44">
        <f t="shared" ref="D137:M137" si="58">D51</f>
        <v>2318094.2099761148</v>
      </c>
      <c r="E137" s="44">
        <f t="shared" si="58"/>
        <v>2361227.2280582278</v>
      </c>
      <c r="F137" s="44">
        <f t="shared" si="58"/>
        <v>2402981.0022937586</v>
      </c>
      <c r="G137" s="44">
        <f t="shared" si="58"/>
        <v>2447786.2569800047</v>
      </c>
      <c r="H137" s="44">
        <f t="shared" si="58"/>
        <v>2491166.573333201</v>
      </c>
      <c r="I137" s="44">
        <f t="shared" si="58"/>
        <v>2537709.1400747653</v>
      </c>
      <c r="J137" s="44">
        <f t="shared" si="58"/>
        <v>2585170.9442999973</v>
      </c>
      <c r="K137" s="44">
        <f t="shared" si="58"/>
        <v>2633570.1965508037</v>
      </c>
      <c r="L137" s="44">
        <f t="shared" si="58"/>
        <v>2682925.468966811</v>
      </c>
      <c r="M137" s="50">
        <f t="shared" si="58"/>
        <v>2733255.7024781257</v>
      </c>
      <c r="N137" s="82"/>
      <c r="O137" s="83"/>
      <c r="P137" s="83"/>
      <c r="Q137" s="83"/>
      <c r="R137" s="83"/>
      <c r="S137" s="83"/>
      <c r="T137" s="83"/>
      <c r="U137" s="83"/>
    </row>
    <row r="138" spans="1:21" outlineLevel="1" x14ac:dyDescent="0.25">
      <c r="A138" s="104"/>
      <c r="B138" s="51" t="s">
        <v>27</v>
      </c>
      <c r="C138" s="52">
        <f>SUM(C131:C137)</f>
        <v>13095170</v>
      </c>
      <c r="D138" s="52">
        <f t="shared" ref="D138:M138" si="59">SUM(D131:D137)</f>
        <v>13320946.01294923</v>
      </c>
      <c r="E138" s="52">
        <f t="shared" si="59"/>
        <v>13566756.163099924</v>
      </c>
      <c r="F138" s="52">
        <f t="shared" si="59"/>
        <v>13801283.894969983</v>
      </c>
      <c r="G138" s="52">
        <f t="shared" si="59"/>
        <v>14056568.605597991</v>
      </c>
      <c r="H138" s="52">
        <f t="shared" si="59"/>
        <v>14300188.577823602</v>
      </c>
      <c r="I138" s="52">
        <f t="shared" si="59"/>
        <v>14565314.518385727</v>
      </c>
      <c r="J138" s="52">
        <f t="shared" si="59"/>
        <v>14835682.76741389</v>
      </c>
      <c r="K138" s="52">
        <f t="shared" si="59"/>
        <v>15111397.267922239</v>
      </c>
      <c r="L138" s="52">
        <f t="shared" si="59"/>
        <v>15392564.028237868</v>
      </c>
      <c r="M138" s="53">
        <f t="shared" si="59"/>
        <v>15679291.163103878</v>
      </c>
      <c r="N138" s="82"/>
      <c r="O138" s="83"/>
      <c r="P138" s="83"/>
      <c r="Q138" s="83"/>
      <c r="R138" s="83"/>
      <c r="S138" s="83"/>
      <c r="T138" s="83"/>
      <c r="U138" s="83"/>
    </row>
    <row r="139" spans="1:21" ht="7.5" customHeight="1" outlineLevel="1" x14ac:dyDescent="0.25">
      <c r="A139" s="104"/>
      <c r="B139" s="55"/>
      <c r="C139" s="44"/>
      <c r="D139" s="45"/>
      <c r="E139" s="45"/>
      <c r="F139" s="45"/>
      <c r="G139" s="45"/>
      <c r="H139" s="45"/>
      <c r="I139" s="45"/>
      <c r="J139" s="45"/>
      <c r="K139" s="45"/>
      <c r="L139" s="45"/>
      <c r="M139" s="46"/>
      <c r="N139" s="82"/>
      <c r="O139" s="83"/>
      <c r="P139" s="83"/>
      <c r="Q139" s="83"/>
      <c r="R139" s="83"/>
      <c r="S139" s="83"/>
      <c r="T139" s="83"/>
      <c r="U139" s="83"/>
    </row>
    <row r="140" spans="1:21" outlineLevel="1" x14ac:dyDescent="0.25">
      <c r="A140" s="104"/>
      <c r="B140" s="51" t="s">
        <v>28</v>
      </c>
      <c r="C140" s="44">
        <f t="shared" ref="C140:M140" si="60">C56</f>
        <v>457484</v>
      </c>
      <c r="D140" s="44">
        <f t="shared" si="60"/>
        <v>204300.00000000003</v>
      </c>
      <c r="E140" s="44">
        <f t="shared" si="60"/>
        <v>208794.60000000003</v>
      </c>
      <c r="F140" s="44">
        <f t="shared" si="60"/>
        <v>213492.47850000003</v>
      </c>
      <c r="G140" s="44">
        <f t="shared" si="60"/>
        <v>218402.8055055</v>
      </c>
      <c r="H140" s="44">
        <f t="shared" si="60"/>
        <v>223426.07003212647</v>
      </c>
      <c r="I140" s="44">
        <f t="shared" si="60"/>
        <v>228676.58267788147</v>
      </c>
      <c r="J140" s="44">
        <f t="shared" si="60"/>
        <v>233821.80578813379</v>
      </c>
      <c r="K140" s="44">
        <f t="shared" si="60"/>
        <v>239082.79641836678</v>
      </c>
      <c r="L140" s="44">
        <f t="shared" si="60"/>
        <v>244342.61793957086</v>
      </c>
      <c r="M140" s="50">
        <f t="shared" si="60"/>
        <v>249718.15553424144</v>
      </c>
      <c r="N140" s="82"/>
      <c r="O140" s="83"/>
      <c r="P140" s="83"/>
      <c r="Q140" s="83"/>
      <c r="R140" s="83"/>
      <c r="S140" s="83"/>
      <c r="T140" s="83"/>
      <c r="U140" s="83"/>
    </row>
    <row r="141" spans="1:21" ht="7.5" customHeight="1" outlineLevel="1" x14ac:dyDescent="0.25">
      <c r="A141" s="104"/>
      <c r="B141" s="55"/>
      <c r="C141" s="44"/>
      <c r="D141" s="44"/>
      <c r="E141" s="44"/>
      <c r="F141" s="44"/>
      <c r="G141" s="44"/>
      <c r="H141" s="44"/>
      <c r="I141" s="44"/>
      <c r="J141" s="44"/>
      <c r="K141" s="44"/>
      <c r="L141" s="44"/>
      <c r="M141" s="50"/>
      <c r="N141" s="82"/>
      <c r="O141" s="83"/>
      <c r="P141" s="83"/>
      <c r="Q141" s="83"/>
      <c r="R141" s="83"/>
      <c r="S141" s="83"/>
      <c r="T141" s="83"/>
      <c r="U141" s="83"/>
    </row>
    <row r="142" spans="1:21" outlineLevel="1" x14ac:dyDescent="0.25">
      <c r="A142" s="104"/>
      <c r="B142" s="51" t="s">
        <v>29</v>
      </c>
      <c r="C142" s="44">
        <f>C61</f>
        <v>4345122</v>
      </c>
      <c r="D142" s="44">
        <f>D61+45000</f>
        <v>4113589.5540000005</v>
      </c>
      <c r="E142" s="44">
        <f t="shared" ref="E142:M142" si="61">E61</f>
        <v>4158098.5241880007</v>
      </c>
      <c r="F142" s="44">
        <f t="shared" si="61"/>
        <v>4251655.7409822308</v>
      </c>
      <c r="G142" s="44">
        <f t="shared" si="61"/>
        <v>4349443.8230248215</v>
      </c>
      <c r="H142" s="44">
        <f t="shared" si="61"/>
        <v>4449481.0309543917</v>
      </c>
      <c r="I142" s="44">
        <f t="shared" si="61"/>
        <v>4554043.8351818202</v>
      </c>
      <c r="J142" s="44">
        <f t="shared" si="61"/>
        <v>4656509.8214734113</v>
      </c>
      <c r="K142" s="44">
        <f t="shared" si="61"/>
        <v>4761281.2924565626</v>
      </c>
      <c r="L142" s="44">
        <f t="shared" si="61"/>
        <v>4866029.4808906075</v>
      </c>
      <c r="M142" s="50">
        <f t="shared" si="61"/>
        <v>4973082.1294702012</v>
      </c>
      <c r="N142" s="82"/>
      <c r="O142" s="83"/>
      <c r="P142" s="83"/>
      <c r="Q142" s="83"/>
      <c r="R142" s="83"/>
      <c r="S142" s="83"/>
      <c r="T142" s="83"/>
      <c r="U142" s="83"/>
    </row>
    <row r="143" spans="1:21" ht="7.5" customHeight="1" outlineLevel="1" x14ac:dyDescent="0.25">
      <c r="A143" s="104"/>
      <c r="B143" s="55"/>
      <c r="C143" s="44"/>
      <c r="D143" s="45"/>
      <c r="E143" s="45"/>
      <c r="F143" s="45"/>
      <c r="G143" s="45"/>
      <c r="H143" s="45"/>
      <c r="I143" s="45"/>
      <c r="J143" s="45"/>
      <c r="K143" s="45"/>
      <c r="L143" s="45"/>
      <c r="M143" s="46"/>
      <c r="N143" s="82"/>
      <c r="O143" s="83"/>
      <c r="P143" s="83"/>
      <c r="Q143" s="83"/>
      <c r="R143" s="83"/>
      <c r="S143" s="83"/>
      <c r="T143" s="83"/>
      <c r="U143" s="83"/>
    </row>
    <row r="144" spans="1:21" outlineLevel="1" x14ac:dyDescent="0.25">
      <c r="A144" s="104"/>
      <c r="B144" s="51" t="s">
        <v>30</v>
      </c>
      <c r="C144" s="44">
        <f>C66+C71</f>
        <v>779893</v>
      </c>
      <c r="D144" s="44">
        <f t="shared" ref="D144:M144" si="62">IF($D$28="Yes",D71+D77,D66+D71)</f>
        <v>789762</v>
      </c>
      <c r="E144" s="44">
        <f t="shared" si="62"/>
        <v>805640</v>
      </c>
      <c r="F144" s="44">
        <f t="shared" si="62"/>
        <v>760968</v>
      </c>
      <c r="G144" s="44">
        <f t="shared" si="62"/>
        <v>750844</v>
      </c>
      <c r="H144" s="44">
        <f t="shared" si="62"/>
        <v>740718</v>
      </c>
      <c r="I144" s="44">
        <f t="shared" si="62"/>
        <v>745056</v>
      </c>
      <c r="J144" s="44">
        <f t="shared" si="62"/>
        <v>738756</v>
      </c>
      <c r="K144" s="44">
        <f t="shared" si="62"/>
        <v>732306</v>
      </c>
      <c r="L144" s="44">
        <f t="shared" si="62"/>
        <v>725706</v>
      </c>
      <c r="M144" s="44">
        <f t="shared" si="62"/>
        <v>649500</v>
      </c>
      <c r="N144" s="82"/>
      <c r="O144" s="83"/>
      <c r="P144" s="83"/>
      <c r="Q144" s="83"/>
      <c r="R144" s="83"/>
      <c r="S144" s="83"/>
      <c r="T144" s="83"/>
      <c r="U144" s="83"/>
    </row>
    <row r="145" spans="1:21" ht="7.5" customHeight="1" outlineLevel="1" x14ac:dyDescent="0.25">
      <c r="A145" s="104"/>
      <c r="B145" s="55"/>
      <c r="C145" s="44"/>
      <c r="D145" s="45"/>
      <c r="E145" s="45"/>
      <c r="F145" s="45"/>
      <c r="G145" s="45"/>
      <c r="H145" s="45"/>
      <c r="I145" s="45"/>
      <c r="J145" s="45"/>
      <c r="K145" s="45"/>
      <c r="L145" s="45"/>
      <c r="M145" s="46"/>
      <c r="N145" s="82"/>
      <c r="O145" s="83"/>
      <c r="P145" s="83"/>
      <c r="Q145" s="83"/>
      <c r="R145" s="83"/>
      <c r="S145" s="83"/>
      <c r="T145" s="83"/>
      <c r="U145" s="83"/>
    </row>
    <row r="146" spans="1:21" outlineLevel="1" x14ac:dyDescent="0.25">
      <c r="A146" s="104"/>
      <c r="B146" s="51" t="s">
        <v>31</v>
      </c>
      <c r="C146" s="44">
        <f t="shared" ref="C146:M146" si="63">C82</f>
        <v>20000</v>
      </c>
      <c r="D146" s="44">
        <f t="shared" si="63"/>
        <v>20000</v>
      </c>
      <c r="E146" s="44">
        <f t="shared" si="63"/>
        <v>20000</v>
      </c>
      <c r="F146" s="44">
        <f t="shared" si="63"/>
        <v>20000</v>
      </c>
      <c r="G146" s="44">
        <f t="shared" si="63"/>
        <v>20000</v>
      </c>
      <c r="H146" s="44">
        <f t="shared" si="63"/>
        <v>20000</v>
      </c>
      <c r="I146" s="44">
        <f t="shared" si="63"/>
        <v>20000</v>
      </c>
      <c r="J146" s="44">
        <f t="shared" si="63"/>
        <v>20000</v>
      </c>
      <c r="K146" s="44">
        <f t="shared" si="63"/>
        <v>20000</v>
      </c>
      <c r="L146" s="44">
        <f t="shared" si="63"/>
        <v>20000</v>
      </c>
      <c r="M146" s="50">
        <f t="shared" si="63"/>
        <v>20000</v>
      </c>
      <c r="N146" s="82"/>
      <c r="O146" s="83"/>
      <c r="P146" s="83"/>
      <c r="Q146" s="83"/>
      <c r="R146" s="83"/>
      <c r="S146" s="83"/>
      <c r="T146" s="83"/>
      <c r="U146" s="83"/>
    </row>
    <row r="147" spans="1:21" ht="7.5" customHeight="1" outlineLevel="1" x14ac:dyDescent="0.25">
      <c r="A147" s="104"/>
      <c r="B147" s="55"/>
      <c r="C147" s="44"/>
      <c r="D147" s="45"/>
      <c r="E147" s="45"/>
      <c r="F147" s="45"/>
      <c r="G147" s="45"/>
      <c r="H147" s="45"/>
      <c r="I147" s="45"/>
      <c r="J147" s="45"/>
      <c r="K147" s="45"/>
      <c r="L147" s="45"/>
      <c r="M147" s="46"/>
      <c r="N147" s="82"/>
      <c r="O147" s="83"/>
      <c r="P147" s="83"/>
      <c r="Q147" s="83"/>
      <c r="R147" s="83"/>
      <c r="S147" s="83"/>
      <c r="T147" s="83"/>
      <c r="U147" s="83"/>
    </row>
    <row r="148" spans="1:21" outlineLevel="1" x14ac:dyDescent="0.25">
      <c r="A148" s="104"/>
      <c r="B148" s="51" t="s">
        <v>32</v>
      </c>
      <c r="C148" s="44"/>
      <c r="D148" s="45"/>
      <c r="E148" s="45"/>
      <c r="F148" s="45"/>
      <c r="G148" s="45"/>
      <c r="H148" s="45"/>
      <c r="I148" s="45"/>
      <c r="J148" s="45"/>
      <c r="K148" s="45"/>
      <c r="L148" s="45"/>
      <c r="M148" s="46"/>
      <c r="N148" s="82"/>
      <c r="O148" s="83"/>
      <c r="P148" s="83"/>
      <c r="Q148" s="83"/>
      <c r="R148" s="83"/>
      <c r="S148" s="83"/>
      <c r="T148" s="83"/>
      <c r="U148" s="83"/>
    </row>
    <row r="149" spans="1:21" outlineLevel="1" x14ac:dyDescent="0.25">
      <c r="A149" s="104"/>
      <c r="B149" s="54" t="s">
        <v>33</v>
      </c>
      <c r="C149" s="44">
        <f t="shared" ref="C149:M149" si="64">C97</f>
        <v>5538545</v>
      </c>
      <c r="D149" s="44">
        <f t="shared" si="64"/>
        <v>5657623.7175000003</v>
      </c>
      <c r="E149" s="44">
        <f t="shared" si="64"/>
        <v>5782091.4392850008</v>
      </c>
      <c r="F149" s="44">
        <f t="shared" si="64"/>
        <v>5912188.4966689134</v>
      </c>
      <c r="G149" s="44">
        <f t="shared" si="64"/>
        <v>6048168.8320922982</v>
      </c>
      <c r="H149" s="44">
        <f t="shared" si="64"/>
        <v>6187276.7152304202</v>
      </c>
      <c r="I149" s="44">
        <f t="shared" si="64"/>
        <v>6332677.7180383354</v>
      </c>
      <c r="J149" s="44">
        <f t="shared" si="64"/>
        <v>6475162.9666941976</v>
      </c>
      <c r="K149" s="44">
        <f t="shared" si="64"/>
        <v>6620854.1334448168</v>
      </c>
      <c r="L149" s="44">
        <f t="shared" si="64"/>
        <v>6766512.9243806032</v>
      </c>
      <c r="M149" s="50">
        <f t="shared" si="64"/>
        <v>6915376.2087169765</v>
      </c>
      <c r="N149" s="82"/>
      <c r="O149" s="83"/>
      <c r="P149" s="83"/>
      <c r="Q149" s="83"/>
      <c r="R149" s="83"/>
      <c r="S149" s="83"/>
      <c r="T149" s="83"/>
      <c r="U149" s="83"/>
    </row>
    <row r="150" spans="1:21" outlineLevel="1" x14ac:dyDescent="0.25">
      <c r="A150" s="104"/>
      <c r="B150" s="54" t="s">
        <v>16</v>
      </c>
      <c r="C150" s="44">
        <f t="shared" ref="C150:M150" si="65">C92</f>
        <v>1042655</v>
      </c>
      <c r="D150" s="44">
        <f t="shared" si="65"/>
        <v>1019052.3699906161</v>
      </c>
      <c r="E150" s="44">
        <f t="shared" si="65"/>
        <v>1037856.8464771442</v>
      </c>
      <c r="F150" s="44">
        <f t="shared" si="65"/>
        <v>1055798.2179652036</v>
      </c>
      <c r="G150" s="44">
        <f t="shared" si="65"/>
        <v>1075327.4983282464</v>
      </c>
      <c r="H150" s="44">
        <f t="shared" si="65"/>
        <v>1093964.4262035056</v>
      </c>
      <c r="I150" s="44">
        <f t="shared" si="65"/>
        <v>1114246.5606565082</v>
      </c>
      <c r="J150" s="44">
        <f t="shared" si="65"/>
        <v>1134929.7317071625</v>
      </c>
      <c r="K150" s="44">
        <f t="shared" si="65"/>
        <v>1156021.8909960513</v>
      </c>
      <c r="L150" s="44">
        <f t="shared" si="65"/>
        <v>1177531.1481601968</v>
      </c>
      <c r="M150" s="50">
        <f t="shared" si="65"/>
        <v>1199465.7739774466</v>
      </c>
      <c r="N150" s="82"/>
      <c r="O150" s="83"/>
      <c r="P150" s="83"/>
      <c r="Q150" s="83"/>
      <c r="R150" s="83"/>
      <c r="S150" s="83"/>
      <c r="T150" s="83"/>
      <c r="U150" s="83"/>
    </row>
    <row r="151" spans="1:21" outlineLevel="1" x14ac:dyDescent="0.25">
      <c r="A151" s="104"/>
      <c r="B151" s="54" t="s">
        <v>34</v>
      </c>
      <c r="C151" s="44">
        <f t="shared" ref="C151:M151" si="66">C102</f>
        <v>2869551</v>
      </c>
      <c r="D151" s="44">
        <f t="shared" si="66"/>
        <v>3039654.8628524845</v>
      </c>
      <c r="E151" s="44">
        <f t="shared" si="66"/>
        <v>3097598.8095520958</v>
      </c>
      <c r="F151" s="44">
        <f t="shared" si="66"/>
        <v>3151553.5002274979</v>
      </c>
      <c r="G151" s="44">
        <f t="shared" si="66"/>
        <v>3211717.5025433116</v>
      </c>
      <c r="H151" s="44">
        <f t="shared" si="66"/>
        <v>3267754.9207832152</v>
      </c>
      <c r="I151" s="44">
        <f t="shared" si="66"/>
        <v>3330224.4019041099</v>
      </c>
      <c r="J151" s="44">
        <f t="shared" si="66"/>
        <v>3393935.1121344795</v>
      </c>
      <c r="K151" s="44">
        <f t="shared" si="66"/>
        <v>3458911.7536488185</v>
      </c>
      <c r="L151" s="44">
        <f t="shared" si="66"/>
        <v>3525179.5208289986</v>
      </c>
      <c r="M151" s="50">
        <f t="shared" si="66"/>
        <v>3592764.1100808685</v>
      </c>
      <c r="N151" s="82"/>
      <c r="O151" s="83"/>
      <c r="P151" s="83"/>
      <c r="Q151" s="83"/>
      <c r="R151" s="83"/>
      <c r="S151" s="83"/>
      <c r="T151" s="83"/>
      <c r="U151" s="83"/>
    </row>
    <row r="152" spans="1:21" outlineLevel="1" x14ac:dyDescent="0.25">
      <c r="A152" s="104"/>
      <c r="B152" s="54" t="s">
        <v>35</v>
      </c>
      <c r="C152" s="44">
        <f t="shared" ref="C152:M152" si="67">C87</f>
        <v>1289541</v>
      </c>
      <c r="D152" s="44">
        <f t="shared" si="67"/>
        <v>1303403.5657500001</v>
      </c>
      <c r="E152" s="44">
        <f t="shared" si="67"/>
        <v>1317741.00497325</v>
      </c>
      <c r="F152" s="44">
        <f t="shared" si="67"/>
        <v>1332565.5912791991</v>
      </c>
      <c r="G152" s="44">
        <f t="shared" si="67"/>
        <v>1347890.0955789101</v>
      </c>
      <c r="H152" s="44">
        <f t="shared" si="67"/>
        <v>1363390.8316780676</v>
      </c>
      <c r="I152" s="44">
        <f t="shared" si="67"/>
        <v>1379410.6739502847</v>
      </c>
      <c r="J152" s="44">
        <f t="shared" si="67"/>
        <v>1394929.0440322254</v>
      </c>
      <c r="K152" s="44">
        <f t="shared" si="67"/>
        <v>1410621.9957775879</v>
      </c>
      <c r="L152" s="44">
        <f t="shared" si="67"/>
        <v>1426138.8377311411</v>
      </c>
      <c r="M152" s="50">
        <f t="shared" si="67"/>
        <v>1441826.3649461835</v>
      </c>
      <c r="N152" s="82"/>
      <c r="O152" s="83"/>
      <c r="P152" s="83"/>
      <c r="Q152" s="83"/>
      <c r="R152" s="83"/>
      <c r="S152" s="83"/>
      <c r="T152" s="83"/>
      <c r="U152" s="83"/>
    </row>
    <row r="153" spans="1:21" outlineLevel="1" x14ac:dyDescent="0.25">
      <c r="A153" s="104"/>
      <c r="B153" s="51" t="s">
        <v>36</v>
      </c>
      <c r="C153" s="44">
        <f>SUM(C149:C152)</f>
        <v>10740292</v>
      </c>
      <c r="D153" s="44">
        <f t="shared" ref="D153:M153" si="68">SUM(D149:D152)</f>
        <v>11019734.516093101</v>
      </c>
      <c r="E153" s="44">
        <f t="shared" si="68"/>
        <v>11235288.100287491</v>
      </c>
      <c r="F153" s="44">
        <f t="shared" si="68"/>
        <v>11452105.806140814</v>
      </c>
      <c r="G153" s="44">
        <f t="shared" si="68"/>
        <v>11683103.928542767</v>
      </c>
      <c r="H153" s="44">
        <f t="shared" si="68"/>
        <v>11912386.893895211</v>
      </c>
      <c r="I153" s="44">
        <f t="shared" si="68"/>
        <v>12156559.354549238</v>
      </c>
      <c r="J153" s="44">
        <f t="shared" si="68"/>
        <v>12398956.854568064</v>
      </c>
      <c r="K153" s="44">
        <f t="shared" si="68"/>
        <v>12646409.773867276</v>
      </c>
      <c r="L153" s="44">
        <f t="shared" si="68"/>
        <v>12895362.43110094</v>
      </c>
      <c r="M153" s="50">
        <f t="shared" si="68"/>
        <v>13149432.457721474</v>
      </c>
      <c r="N153" s="82"/>
      <c r="O153" s="83"/>
      <c r="P153" s="83"/>
      <c r="Q153" s="83"/>
      <c r="R153" s="83"/>
      <c r="S153" s="83"/>
      <c r="T153" s="83"/>
      <c r="U153" s="83"/>
    </row>
    <row r="154" spans="1:21" ht="7.5" customHeight="1" outlineLevel="1" x14ac:dyDescent="0.25">
      <c r="A154" s="104"/>
      <c r="B154" s="55"/>
      <c r="C154" s="44"/>
      <c r="D154" s="45"/>
      <c r="E154" s="45"/>
      <c r="F154" s="45"/>
      <c r="G154" s="45"/>
      <c r="H154" s="45"/>
      <c r="I154" s="45"/>
      <c r="J154" s="45"/>
      <c r="K154" s="45"/>
      <c r="L154" s="45"/>
      <c r="M154" s="46"/>
      <c r="N154" s="82"/>
      <c r="O154" s="83"/>
      <c r="P154" s="83"/>
      <c r="Q154" s="83"/>
      <c r="R154" s="83"/>
      <c r="S154" s="83"/>
      <c r="T154" s="83"/>
      <c r="U154" s="83"/>
    </row>
    <row r="155" spans="1:21" outlineLevel="1" x14ac:dyDescent="0.25">
      <c r="A155" s="104"/>
      <c r="B155" s="56" t="s">
        <v>58</v>
      </c>
      <c r="C155" s="52">
        <f>C153+C146+C144+C142+C140+C138+1</f>
        <v>29437962</v>
      </c>
      <c r="D155" s="52">
        <f t="shared" ref="D155:M155" si="69">D153+D146+D144+D142+D140+D138</f>
        <v>29468332.083042331</v>
      </c>
      <c r="E155" s="52">
        <f t="shared" si="69"/>
        <v>29994577.387575418</v>
      </c>
      <c r="F155" s="52">
        <f t="shared" si="69"/>
        <v>30499505.920593027</v>
      </c>
      <c r="G155" s="52">
        <f t="shared" si="69"/>
        <v>31078363.162671078</v>
      </c>
      <c r="H155" s="52">
        <f t="shared" si="69"/>
        <v>31646200.572705332</v>
      </c>
      <c r="I155" s="52">
        <f t="shared" si="69"/>
        <v>32269650.290794667</v>
      </c>
      <c r="J155" s="52">
        <f t="shared" si="69"/>
        <v>32883727.249243498</v>
      </c>
      <c r="K155" s="52">
        <f t="shared" si="69"/>
        <v>33510477.130664445</v>
      </c>
      <c r="L155" s="52">
        <f t="shared" si="69"/>
        <v>34144004.558168985</v>
      </c>
      <c r="M155" s="53">
        <f t="shared" si="69"/>
        <v>34721023.905829795</v>
      </c>
      <c r="N155" s="82"/>
      <c r="O155" s="83"/>
      <c r="P155" s="83"/>
      <c r="Q155" s="83"/>
      <c r="R155" s="83"/>
      <c r="S155" s="83"/>
      <c r="T155" s="83"/>
      <c r="U155" s="83"/>
    </row>
    <row r="156" spans="1:21" ht="15.75" outlineLevel="1" thickBot="1" x14ac:dyDescent="0.3">
      <c r="A156" s="104"/>
      <c r="B156" s="57"/>
      <c r="C156" s="58"/>
      <c r="D156" s="58"/>
      <c r="E156" s="58"/>
      <c r="F156" s="58"/>
      <c r="G156" s="58"/>
      <c r="H156" s="58"/>
      <c r="I156" s="58"/>
      <c r="J156" s="58"/>
      <c r="K156" s="58"/>
      <c r="L156" s="58"/>
      <c r="M156" s="59"/>
      <c r="N156" s="82"/>
      <c r="O156" s="83"/>
      <c r="P156" s="83"/>
      <c r="Q156" s="83"/>
      <c r="R156" s="83"/>
      <c r="S156" s="83"/>
      <c r="T156" s="83"/>
      <c r="U156" s="83"/>
    </row>
    <row r="157" spans="1:21" ht="15.75" outlineLevel="1" thickTop="1" x14ac:dyDescent="0.25">
      <c r="A157" s="104"/>
      <c r="B157" s="56" t="s">
        <v>59</v>
      </c>
      <c r="C157" s="52">
        <v>0</v>
      </c>
      <c r="D157" s="52">
        <f t="shared" ref="D157:M157" si="70">D127-D155</f>
        <v>0</v>
      </c>
      <c r="E157" s="52">
        <f>E127-E155</f>
        <v>0</v>
      </c>
      <c r="F157" s="52">
        <f t="shared" si="70"/>
        <v>0</v>
      </c>
      <c r="G157" s="52">
        <f t="shared" si="70"/>
        <v>0</v>
      </c>
      <c r="H157" s="52">
        <f t="shared" si="70"/>
        <v>0</v>
      </c>
      <c r="I157" s="52">
        <f t="shared" si="70"/>
        <v>0</v>
      </c>
      <c r="J157" s="52">
        <f t="shared" si="70"/>
        <v>0</v>
      </c>
      <c r="K157" s="52">
        <f t="shared" si="70"/>
        <v>0</v>
      </c>
      <c r="L157" s="52">
        <f t="shared" si="70"/>
        <v>0</v>
      </c>
      <c r="M157" s="53">
        <f t="shared" si="70"/>
        <v>0</v>
      </c>
      <c r="N157" s="82"/>
      <c r="O157" s="83"/>
      <c r="P157" s="83"/>
      <c r="Q157" s="83"/>
      <c r="R157" s="83"/>
      <c r="S157" s="83"/>
      <c r="T157" s="83"/>
      <c r="U157" s="83"/>
    </row>
    <row r="158" spans="1:21" ht="15.75" outlineLevel="1" thickBot="1" x14ac:dyDescent="0.3">
      <c r="A158" s="104"/>
      <c r="B158" s="66" t="s">
        <v>66</v>
      </c>
      <c r="C158" s="67"/>
      <c r="D158" s="68">
        <f>((D155-D126-D125-D123-D122-D121-D120-D119-D124)-C118)/C118</f>
        <v>1.9174975379192521E-2</v>
      </c>
      <c r="E158" s="68">
        <f>((E155-E126-E125-E123-E122-E121-E120-E119-E124)-D118)/D118</f>
        <v>3.1239938650559747E-2</v>
      </c>
      <c r="F158" s="68">
        <f t="shared" ref="F158:L158" si="71">((F155-F126-F125-F123-F122-F121-F120-F119-F124)-E118)/E118</f>
        <v>2.4494993566928368E-2</v>
      </c>
      <c r="G158" s="68">
        <f t="shared" si="71"/>
        <v>2.1333489692914414E-2</v>
      </c>
      <c r="H158" s="68">
        <f t="shared" si="71"/>
        <v>1.975054121518573E-2</v>
      </c>
      <c r="I158" s="68">
        <f t="shared" si="71"/>
        <v>2.2246927590951298E-2</v>
      </c>
      <c r="J158" s="68">
        <f t="shared" si="71"/>
        <v>2.1551735976643387E-2</v>
      </c>
      <c r="K158" s="68">
        <f t="shared" si="71"/>
        <v>2.1521030022156086E-2</v>
      </c>
      <c r="L158" s="68">
        <f t="shared" si="71"/>
        <v>2.1512810757090269E-2</v>
      </c>
      <c r="M158" s="69">
        <f>((M155-M126-M125-M123-M122-M121-M120-M119-M124)-L118)/L118</f>
        <v>1.7267929429063571E-2</v>
      </c>
      <c r="N158" s="82"/>
      <c r="O158" s="83"/>
      <c r="P158" s="83"/>
      <c r="Q158" s="83"/>
      <c r="R158" s="83"/>
      <c r="S158" s="83"/>
      <c r="T158" s="83"/>
      <c r="U158" s="83"/>
    </row>
    <row r="159" spans="1:21" ht="15.75" thickBot="1" x14ac:dyDescent="0.3">
      <c r="D159" s="2"/>
      <c r="E159" s="2"/>
      <c r="F159" s="2"/>
      <c r="G159" s="2"/>
      <c r="H159" s="2"/>
      <c r="I159" s="2"/>
      <c r="J159" s="2"/>
      <c r="K159" s="2"/>
      <c r="L159" s="2"/>
      <c r="M159" s="2"/>
    </row>
    <row r="160" spans="1:21" ht="21" customHeight="1" outlineLevel="1" x14ac:dyDescent="0.35">
      <c r="A160" s="104"/>
      <c r="B160" s="101" t="s">
        <v>84</v>
      </c>
      <c r="C160" s="102"/>
      <c r="D160" s="102"/>
      <c r="E160" s="102"/>
      <c r="F160" s="102"/>
      <c r="G160" s="102"/>
      <c r="H160" s="102"/>
      <c r="I160" s="102"/>
      <c r="J160" s="102"/>
      <c r="K160" s="102"/>
      <c r="L160" s="102"/>
      <c r="M160" s="103"/>
    </row>
    <row r="161" spans="1:13" outlineLevel="1" x14ac:dyDescent="0.25">
      <c r="A161" s="104"/>
      <c r="B161" s="43"/>
      <c r="C161" s="44"/>
      <c r="D161" s="45"/>
      <c r="E161" s="45"/>
      <c r="F161" s="45"/>
      <c r="G161" s="45"/>
      <c r="H161" s="45"/>
      <c r="I161" s="45"/>
      <c r="J161" s="45"/>
      <c r="K161" s="45"/>
      <c r="L161" s="45"/>
      <c r="M161" s="46"/>
    </row>
    <row r="162" spans="1:13" ht="15.75" outlineLevel="1" x14ac:dyDescent="0.25">
      <c r="A162" s="104"/>
      <c r="B162" s="43"/>
      <c r="C162" s="71">
        <v>2024</v>
      </c>
      <c r="D162" s="71">
        <v>2025</v>
      </c>
      <c r="E162" s="71">
        <v>2026</v>
      </c>
      <c r="F162" s="71">
        <v>2027</v>
      </c>
      <c r="G162" s="71">
        <v>2028</v>
      </c>
      <c r="H162" s="71">
        <v>2029</v>
      </c>
      <c r="I162" s="71">
        <v>2030</v>
      </c>
      <c r="J162" s="71">
        <v>2031</v>
      </c>
      <c r="K162" s="71">
        <v>2032</v>
      </c>
      <c r="L162" s="71">
        <v>2033</v>
      </c>
      <c r="M162" s="72">
        <v>2034</v>
      </c>
    </row>
    <row r="163" spans="1:13" outlineLevel="1" x14ac:dyDescent="0.25">
      <c r="A163" s="104"/>
      <c r="B163" s="43" t="s">
        <v>48</v>
      </c>
      <c r="C163" s="44"/>
      <c r="D163" s="45"/>
      <c r="E163" s="45"/>
      <c r="F163" s="45"/>
      <c r="G163" s="45"/>
      <c r="H163" s="45"/>
      <c r="I163" s="45"/>
      <c r="J163" s="45"/>
      <c r="K163" s="45"/>
      <c r="L163" s="45"/>
      <c r="M163" s="46"/>
    </row>
    <row r="164" spans="1:13" outlineLevel="1" x14ac:dyDescent="0.25">
      <c r="A164" s="104"/>
      <c r="B164" s="49" t="s">
        <v>60</v>
      </c>
      <c r="C164" s="44">
        <v>4007021</v>
      </c>
      <c r="D164" s="44">
        <f>C164*(1+D110)</f>
        <v>4103888.5249432642</v>
      </c>
      <c r="E164" s="44">
        <f t="shared" ref="E164:M164" si="72">D164*(1+E110)</f>
        <v>4184242.3471633326</v>
      </c>
      <c r="F164" s="44">
        <f t="shared" si="72"/>
        <v>4203797.2314443663</v>
      </c>
      <c r="G164" s="44">
        <f t="shared" si="72"/>
        <v>4260506.3657733202</v>
      </c>
      <c r="H164" s="44">
        <f t="shared" si="72"/>
        <v>4344485.9343015337</v>
      </c>
      <c r="I164" s="44">
        <f t="shared" si="72"/>
        <v>4425281.7544171736</v>
      </c>
      <c r="J164" s="44">
        <f t="shared" si="72"/>
        <v>4515278.2357873516</v>
      </c>
      <c r="K164" s="44">
        <f t="shared" si="72"/>
        <v>4591784.1118761403</v>
      </c>
      <c r="L164" s="44">
        <f t="shared" si="72"/>
        <v>4673935.176332118</v>
      </c>
      <c r="M164" s="50">
        <f t="shared" si="72"/>
        <v>4762581.9795856392</v>
      </c>
    </row>
    <row r="165" spans="1:13" outlineLevel="1" x14ac:dyDescent="0.25">
      <c r="A165" s="104"/>
      <c r="B165" s="49" t="s">
        <v>31</v>
      </c>
      <c r="C165" s="44">
        <f>145517</f>
        <v>145517</v>
      </c>
      <c r="D165" s="44">
        <f t="shared" ref="D165:M165" si="73">C165*(1+D80)</f>
        <v>145517</v>
      </c>
      <c r="E165" s="44">
        <f t="shared" si="73"/>
        <v>145517</v>
      </c>
      <c r="F165" s="44">
        <f t="shared" si="73"/>
        <v>145517</v>
      </c>
      <c r="G165" s="44">
        <f t="shared" si="73"/>
        <v>145517</v>
      </c>
      <c r="H165" s="44">
        <f t="shared" si="73"/>
        <v>145517</v>
      </c>
      <c r="I165" s="44">
        <f t="shared" si="73"/>
        <v>145517</v>
      </c>
      <c r="J165" s="44">
        <f t="shared" si="73"/>
        <v>145517</v>
      </c>
      <c r="K165" s="44">
        <f t="shared" si="73"/>
        <v>145517</v>
      </c>
      <c r="L165" s="44">
        <f t="shared" si="73"/>
        <v>145517</v>
      </c>
      <c r="M165" s="50">
        <f t="shared" si="73"/>
        <v>145517</v>
      </c>
    </row>
    <row r="166" spans="1:13" outlineLevel="1" x14ac:dyDescent="0.25">
      <c r="A166" s="104"/>
      <c r="B166" s="49" t="s">
        <v>52</v>
      </c>
      <c r="C166" s="44">
        <v>369000</v>
      </c>
      <c r="D166" s="44">
        <v>219000</v>
      </c>
      <c r="E166" s="44">
        <f t="shared" ref="E166:M166" si="74">D166*(1+(E25))</f>
        <v>223818</v>
      </c>
      <c r="F166" s="44">
        <f t="shared" si="74"/>
        <v>228853.905</v>
      </c>
      <c r="G166" s="44">
        <f t="shared" si="74"/>
        <v>234117.54481499997</v>
      </c>
      <c r="H166" s="44">
        <f t="shared" si="74"/>
        <v>239502.24834574494</v>
      </c>
      <c r="I166" s="44">
        <f t="shared" si="74"/>
        <v>245130.55118186996</v>
      </c>
      <c r="J166" s="44">
        <f t="shared" si="74"/>
        <v>250645.98858346202</v>
      </c>
      <c r="K166" s="44">
        <f t="shared" si="74"/>
        <v>256285.5233265899</v>
      </c>
      <c r="L166" s="44">
        <f t="shared" si="74"/>
        <v>261923.80483977488</v>
      </c>
      <c r="M166" s="50">
        <f t="shared" si="74"/>
        <v>267686.12854624994</v>
      </c>
    </row>
    <row r="167" spans="1:13" outlineLevel="1" x14ac:dyDescent="0.25">
      <c r="A167" s="104"/>
      <c r="B167" s="51" t="s">
        <v>55</v>
      </c>
      <c r="C167" s="52">
        <f t="shared" ref="C167:M167" si="75">SUM(C164:C166)</f>
        <v>4521538</v>
      </c>
      <c r="D167" s="52">
        <f t="shared" si="75"/>
        <v>4468405.5249432642</v>
      </c>
      <c r="E167" s="52">
        <f t="shared" si="75"/>
        <v>4553577.3471633326</v>
      </c>
      <c r="F167" s="52">
        <f t="shared" si="75"/>
        <v>4578168.1364443665</v>
      </c>
      <c r="G167" s="52">
        <f t="shared" si="75"/>
        <v>4640140.9105883203</v>
      </c>
      <c r="H167" s="52">
        <f t="shared" si="75"/>
        <v>4729505.1826472785</v>
      </c>
      <c r="I167" s="52">
        <f t="shared" si="75"/>
        <v>4815929.3055990431</v>
      </c>
      <c r="J167" s="52">
        <f t="shared" si="75"/>
        <v>4911441.2243708139</v>
      </c>
      <c r="K167" s="52">
        <f t="shared" si="75"/>
        <v>4993586.6352027301</v>
      </c>
      <c r="L167" s="52">
        <f t="shared" si="75"/>
        <v>5081375.981171893</v>
      </c>
      <c r="M167" s="53">
        <f t="shared" si="75"/>
        <v>5175785.1081318893</v>
      </c>
    </row>
    <row r="168" spans="1:13" outlineLevel="1" x14ac:dyDescent="0.25">
      <c r="A168" s="104"/>
      <c r="B168" s="43"/>
      <c r="C168" s="44"/>
      <c r="D168" s="44"/>
      <c r="E168" s="44"/>
      <c r="F168" s="44"/>
      <c r="G168" s="44"/>
      <c r="H168" s="44"/>
      <c r="I168" s="44"/>
      <c r="J168" s="44"/>
      <c r="K168" s="44"/>
      <c r="L168" s="44"/>
      <c r="M168" s="50"/>
    </row>
    <row r="169" spans="1:13" outlineLevel="1" x14ac:dyDescent="0.25">
      <c r="A169" s="104"/>
      <c r="B169" s="43" t="s">
        <v>57</v>
      </c>
      <c r="C169" s="44"/>
      <c r="D169" s="44"/>
      <c r="E169" s="44"/>
      <c r="F169" s="44"/>
      <c r="G169" s="44"/>
      <c r="H169" s="44"/>
      <c r="I169" s="44"/>
      <c r="J169" s="44"/>
      <c r="K169" s="44"/>
      <c r="L169" s="44"/>
      <c r="M169" s="50"/>
    </row>
    <row r="170" spans="1:13" outlineLevel="1" x14ac:dyDescent="0.25">
      <c r="A170" s="104"/>
      <c r="B170" s="51" t="s">
        <v>25</v>
      </c>
      <c r="C170" s="47"/>
      <c r="D170" s="47"/>
      <c r="E170" s="47"/>
      <c r="F170" s="47"/>
      <c r="G170" s="47"/>
      <c r="H170" s="47"/>
      <c r="I170" s="47"/>
      <c r="J170" s="47"/>
      <c r="K170" s="47"/>
      <c r="L170" s="47"/>
      <c r="M170" s="48"/>
    </row>
    <row r="171" spans="1:13" outlineLevel="1" x14ac:dyDescent="0.25">
      <c r="A171" s="104"/>
      <c r="B171" s="54" t="s">
        <v>1</v>
      </c>
      <c r="C171" s="44">
        <f t="shared" ref="C171:M171" si="76">C39</f>
        <v>827485.04240999988</v>
      </c>
      <c r="D171" s="44">
        <f t="shared" si="76"/>
        <v>844034.74325819989</v>
      </c>
      <c r="E171" s="44">
        <f t="shared" si="76"/>
        <v>860915.43812336389</v>
      </c>
      <c r="F171" s="44">
        <f t="shared" si="76"/>
        <v>878133.74688583123</v>
      </c>
      <c r="G171" s="44">
        <f t="shared" si="76"/>
        <v>895696.42182354792</v>
      </c>
      <c r="H171" s="44">
        <f t="shared" si="76"/>
        <v>913610.35026001884</v>
      </c>
      <c r="I171" s="44">
        <f t="shared" si="76"/>
        <v>931882.55726521928</v>
      </c>
      <c r="J171" s="44">
        <f t="shared" si="76"/>
        <v>950520.20841052372</v>
      </c>
      <c r="K171" s="44">
        <f t="shared" si="76"/>
        <v>969530.61257873417</v>
      </c>
      <c r="L171" s="44">
        <f t="shared" si="76"/>
        <v>988921.22483030893</v>
      </c>
      <c r="M171" s="50">
        <f t="shared" si="76"/>
        <v>1008699.6493269152</v>
      </c>
    </row>
    <row r="172" spans="1:13" outlineLevel="1" x14ac:dyDescent="0.25">
      <c r="A172" s="104"/>
      <c r="B172" s="54" t="s">
        <v>2</v>
      </c>
      <c r="C172" s="44">
        <f t="shared" ref="C172:M172" si="77">C40</f>
        <v>237153.8024803584</v>
      </c>
      <c r="D172" s="44">
        <f t="shared" si="77"/>
        <v>241896.87852996556</v>
      </c>
      <c r="E172" s="44">
        <f t="shared" si="77"/>
        <v>246734.81610056487</v>
      </c>
      <c r="F172" s="44">
        <f t="shared" si="77"/>
        <v>251669.51242257617</v>
      </c>
      <c r="G172" s="44">
        <f t="shared" si="77"/>
        <v>256702.9026710277</v>
      </c>
      <c r="H172" s="44">
        <f t="shared" si="77"/>
        <v>261836.96072444826</v>
      </c>
      <c r="I172" s="44">
        <f t="shared" si="77"/>
        <v>267073.69993893721</v>
      </c>
      <c r="J172" s="44">
        <f t="shared" si="77"/>
        <v>272415.17393771594</v>
      </c>
      <c r="K172" s="44">
        <f t="shared" si="77"/>
        <v>277863.47741647024</v>
      </c>
      <c r="L172" s="44">
        <f t="shared" si="77"/>
        <v>283420.74696479965</v>
      </c>
      <c r="M172" s="50">
        <f t="shared" si="77"/>
        <v>289089.16190409567</v>
      </c>
    </row>
    <row r="173" spans="1:13" outlineLevel="1" x14ac:dyDescent="0.25">
      <c r="A173" s="104"/>
      <c r="B173" s="54" t="s">
        <v>3</v>
      </c>
      <c r="C173" s="44">
        <f t="shared" ref="C173:M173" si="78">C41</f>
        <v>114649.76481776997</v>
      </c>
      <c r="D173" s="44">
        <f t="shared" si="78"/>
        <v>116942.76011412537</v>
      </c>
      <c r="E173" s="44">
        <f t="shared" si="78"/>
        <v>118696.90151583723</v>
      </c>
      <c r="F173" s="44">
        <f t="shared" si="78"/>
        <v>121070.83954615398</v>
      </c>
      <c r="G173" s="44">
        <f t="shared" si="78"/>
        <v>122886.90213934628</v>
      </c>
      <c r="H173" s="44">
        <f t="shared" si="78"/>
        <v>125344.6401821332</v>
      </c>
      <c r="I173" s="44">
        <f t="shared" si="78"/>
        <v>127224.80978486518</v>
      </c>
      <c r="J173" s="44">
        <f t="shared" si="78"/>
        <v>129133.18193163814</v>
      </c>
      <c r="K173" s="44">
        <f t="shared" si="78"/>
        <v>131070.1796606127</v>
      </c>
      <c r="L173" s="44">
        <f t="shared" si="78"/>
        <v>133036.23235552188</v>
      </c>
      <c r="M173" s="50">
        <f t="shared" si="78"/>
        <v>135031.77584085468</v>
      </c>
    </row>
    <row r="174" spans="1:13" outlineLevel="1" x14ac:dyDescent="0.25">
      <c r="A174" s="104"/>
      <c r="B174" s="54" t="s">
        <v>26</v>
      </c>
      <c r="C174" s="44">
        <f>C52+67</f>
        <v>173091.39029187174</v>
      </c>
      <c r="D174" s="44">
        <f t="shared" ref="D174:M174" si="79">D52</f>
        <v>176077.0082849364</v>
      </c>
      <c r="E174" s="44">
        <f t="shared" si="79"/>
        <v>179353.29134086825</v>
      </c>
      <c r="F174" s="44">
        <f t="shared" si="79"/>
        <v>182524.81026376513</v>
      </c>
      <c r="G174" s="44">
        <f t="shared" si="79"/>
        <v>185928.11249654202</v>
      </c>
      <c r="H174" s="44">
        <f t="shared" si="79"/>
        <v>189223.17975008718</v>
      </c>
      <c r="I174" s="44">
        <f t="shared" si="79"/>
        <v>192758.44413860445</v>
      </c>
      <c r="J174" s="44">
        <f t="shared" si="79"/>
        <v>196363.53165395194</v>
      </c>
      <c r="K174" s="44">
        <f t="shared" si="79"/>
        <v>200039.82552625224</v>
      </c>
      <c r="L174" s="44">
        <f t="shared" si="79"/>
        <v>203788.73645174396</v>
      </c>
      <c r="M174" s="50">
        <f t="shared" si="79"/>
        <v>207611.70313912717</v>
      </c>
    </row>
    <row r="175" spans="1:13" outlineLevel="1" x14ac:dyDescent="0.25">
      <c r="A175" s="104"/>
      <c r="B175" s="51" t="s">
        <v>27</v>
      </c>
      <c r="C175" s="44">
        <f>SUM(C171:C174)-66</f>
        <v>1352314</v>
      </c>
      <c r="D175" s="44">
        <f t="shared" ref="D175:M175" si="80">SUM(D171:D174)</f>
        <v>1378951.3901872274</v>
      </c>
      <c r="E175" s="44">
        <f t="shared" si="80"/>
        <v>1405700.4470806343</v>
      </c>
      <c r="F175" s="44">
        <f t="shared" si="80"/>
        <v>1433398.9091183264</v>
      </c>
      <c r="G175" s="44">
        <f t="shared" si="80"/>
        <v>1461214.339130464</v>
      </c>
      <c r="H175" s="44">
        <f t="shared" si="80"/>
        <v>1490015.1309166877</v>
      </c>
      <c r="I175" s="44">
        <f t="shared" si="80"/>
        <v>1518939.5111276261</v>
      </c>
      <c r="J175" s="44">
        <f t="shared" si="80"/>
        <v>1548432.0959338297</v>
      </c>
      <c r="K175" s="44">
        <f t="shared" si="80"/>
        <v>1578504.0951820693</v>
      </c>
      <c r="L175" s="44">
        <f t="shared" si="80"/>
        <v>1609166.9406023745</v>
      </c>
      <c r="M175" s="50">
        <f t="shared" si="80"/>
        <v>1640432.2902109928</v>
      </c>
    </row>
    <row r="176" spans="1:13" ht="15" customHeight="1" outlineLevel="1" x14ac:dyDescent="0.25">
      <c r="A176" s="104"/>
      <c r="B176" s="55"/>
      <c r="C176" s="44"/>
      <c r="D176" s="45"/>
      <c r="E176" s="45"/>
      <c r="F176" s="45"/>
      <c r="G176" s="45"/>
      <c r="H176" s="45"/>
      <c r="I176" s="45"/>
      <c r="J176" s="45"/>
      <c r="K176" s="45"/>
      <c r="L176" s="45"/>
      <c r="M176" s="46"/>
    </row>
    <row r="177" spans="1:13" ht="15" customHeight="1" outlineLevel="1" x14ac:dyDescent="0.25">
      <c r="A177" s="104"/>
      <c r="B177" s="51" t="s">
        <v>28</v>
      </c>
      <c r="C177" s="44">
        <f>C57</f>
        <v>4500</v>
      </c>
      <c r="D177" s="44">
        <f t="shared" ref="D177:M177" si="81">C177*(1+D25)</f>
        <v>4596.75</v>
      </c>
      <c r="E177" s="44">
        <f t="shared" si="81"/>
        <v>4697.8784999999998</v>
      </c>
      <c r="F177" s="44">
        <f t="shared" si="81"/>
        <v>4803.5807662499992</v>
      </c>
      <c r="G177" s="44">
        <f t="shared" si="81"/>
        <v>4914.0631238737487</v>
      </c>
      <c r="H177" s="44">
        <f t="shared" si="81"/>
        <v>5027.0865757228448</v>
      </c>
      <c r="I177" s="44">
        <f t="shared" si="81"/>
        <v>5145.2231102523319</v>
      </c>
      <c r="J177" s="44">
        <f t="shared" si="81"/>
        <v>5260.9906302330091</v>
      </c>
      <c r="K177" s="44">
        <f t="shared" si="81"/>
        <v>5379.3629194132518</v>
      </c>
      <c r="L177" s="44">
        <f t="shared" si="81"/>
        <v>5497.7089036403431</v>
      </c>
      <c r="M177" s="50">
        <f t="shared" si="81"/>
        <v>5618.6584995204312</v>
      </c>
    </row>
    <row r="178" spans="1:13" ht="7.5" customHeight="1" outlineLevel="1" x14ac:dyDescent="0.25">
      <c r="A178" s="104"/>
      <c r="B178" s="55"/>
      <c r="C178" s="44"/>
      <c r="D178" s="44"/>
      <c r="E178" s="44"/>
      <c r="F178" s="44"/>
      <c r="G178" s="44"/>
      <c r="H178" s="44"/>
      <c r="I178" s="44"/>
      <c r="J178" s="44"/>
      <c r="K178" s="44"/>
      <c r="L178" s="44"/>
      <c r="M178" s="50"/>
    </row>
    <row r="179" spans="1:13" outlineLevel="1" x14ac:dyDescent="0.25">
      <c r="A179" s="104"/>
      <c r="B179" s="51" t="s">
        <v>29</v>
      </c>
      <c r="C179" s="44">
        <f t="shared" ref="C179:M179" si="82">C62</f>
        <v>1182834</v>
      </c>
      <c r="D179" s="44">
        <f t="shared" si="82"/>
        <v>1208264.9310000001</v>
      </c>
      <c r="E179" s="44">
        <f t="shared" si="82"/>
        <v>1234846.759482</v>
      </c>
      <c r="F179" s="44">
        <f t="shared" si="82"/>
        <v>1262630.811570345</v>
      </c>
      <c r="G179" s="44">
        <f t="shared" si="82"/>
        <v>1291671.3202364629</v>
      </c>
      <c r="H179" s="44">
        <f t="shared" si="82"/>
        <v>1321379.7606019014</v>
      </c>
      <c r="I179" s="44">
        <f t="shared" si="82"/>
        <v>1352432.1849760462</v>
      </c>
      <c r="J179" s="44">
        <f t="shared" si="82"/>
        <v>1382861.9091380071</v>
      </c>
      <c r="K179" s="44">
        <f t="shared" si="82"/>
        <v>1413976.3020936123</v>
      </c>
      <c r="L179" s="44">
        <f t="shared" si="82"/>
        <v>1445083.7807396718</v>
      </c>
      <c r="M179" s="50">
        <f t="shared" si="82"/>
        <v>1476875.6239159445</v>
      </c>
    </row>
    <row r="180" spans="1:13" ht="7.5" customHeight="1" outlineLevel="1" x14ac:dyDescent="0.25">
      <c r="A180" s="104"/>
      <c r="B180" s="55"/>
      <c r="C180" s="44"/>
      <c r="D180" s="45"/>
      <c r="E180" s="45"/>
      <c r="F180" s="45"/>
      <c r="G180" s="45"/>
      <c r="H180" s="45"/>
      <c r="I180" s="45"/>
      <c r="J180" s="45"/>
      <c r="K180" s="45"/>
      <c r="L180" s="45"/>
      <c r="M180" s="46"/>
    </row>
    <row r="181" spans="1:13" outlineLevel="1" x14ac:dyDescent="0.25">
      <c r="A181" s="104"/>
      <c r="B181" s="51" t="s">
        <v>30</v>
      </c>
      <c r="C181" s="44">
        <f>C67+C72</f>
        <v>611218</v>
      </c>
      <c r="D181" s="44">
        <f>IF($D$28="Yes",D72+D78,D67+D72)</f>
        <v>619681</v>
      </c>
      <c r="E181" s="44">
        <f t="shared" ref="E181:M181" si="83">IF($D$28="Yes",E72+E78,E67+E72)</f>
        <v>625968</v>
      </c>
      <c r="F181" s="44">
        <f t="shared" si="83"/>
        <v>568419</v>
      </c>
      <c r="G181" s="44">
        <f t="shared" si="83"/>
        <v>545950</v>
      </c>
      <c r="H181" s="44">
        <f t="shared" si="83"/>
        <v>548506</v>
      </c>
      <c r="I181" s="44">
        <f t="shared" si="83"/>
        <v>545662</v>
      </c>
      <c r="J181" s="44">
        <f t="shared" si="83"/>
        <v>552312</v>
      </c>
      <c r="K181" s="44">
        <f t="shared" si="83"/>
        <v>543712</v>
      </c>
      <c r="L181" s="44">
        <f t="shared" si="83"/>
        <v>540062</v>
      </c>
      <c r="M181" s="50">
        <f t="shared" si="83"/>
        <v>541121</v>
      </c>
    </row>
    <row r="182" spans="1:13" ht="7.5" customHeight="1" outlineLevel="1" x14ac:dyDescent="0.25">
      <c r="A182" s="104"/>
      <c r="B182" s="55"/>
      <c r="C182" s="44"/>
      <c r="D182" s="45"/>
      <c r="E182" s="45"/>
      <c r="F182" s="45"/>
      <c r="G182" s="45"/>
      <c r="H182" s="45"/>
      <c r="I182" s="45"/>
      <c r="J182" s="45"/>
      <c r="K182" s="45"/>
      <c r="L182" s="45"/>
      <c r="M182" s="46"/>
    </row>
    <row r="183" spans="1:13" outlineLevel="1" x14ac:dyDescent="0.25">
      <c r="A183" s="104"/>
      <c r="B183" s="51" t="s">
        <v>31</v>
      </c>
      <c r="C183" s="44">
        <f>C83</f>
        <v>165000</v>
      </c>
      <c r="D183" s="44">
        <f t="shared" ref="D183:M183" si="84">D83</f>
        <v>15000</v>
      </c>
      <c r="E183" s="44">
        <f t="shared" si="84"/>
        <v>15000</v>
      </c>
      <c r="F183" s="44">
        <f t="shared" si="84"/>
        <v>15000</v>
      </c>
      <c r="G183" s="44">
        <f t="shared" si="84"/>
        <v>15000</v>
      </c>
      <c r="H183" s="44">
        <f t="shared" si="84"/>
        <v>15000</v>
      </c>
      <c r="I183" s="44">
        <f t="shared" si="84"/>
        <v>15000</v>
      </c>
      <c r="J183" s="44">
        <f t="shared" si="84"/>
        <v>15000</v>
      </c>
      <c r="K183" s="44">
        <f t="shared" si="84"/>
        <v>15000</v>
      </c>
      <c r="L183" s="44">
        <f t="shared" si="84"/>
        <v>15000</v>
      </c>
      <c r="M183" s="50">
        <f t="shared" si="84"/>
        <v>15000</v>
      </c>
    </row>
    <row r="184" spans="1:13" ht="7.5" customHeight="1" outlineLevel="1" x14ac:dyDescent="0.25">
      <c r="A184" s="104"/>
      <c r="B184" s="55"/>
      <c r="C184" s="44"/>
      <c r="D184" s="45"/>
      <c r="E184" s="45"/>
      <c r="F184" s="45"/>
      <c r="G184" s="45"/>
      <c r="H184" s="45"/>
      <c r="I184" s="45"/>
      <c r="J184" s="45"/>
      <c r="K184" s="45"/>
      <c r="L184" s="45"/>
      <c r="M184" s="46"/>
    </row>
    <row r="185" spans="1:13" outlineLevel="1" x14ac:dyDescent="0.25">
      <c r="A185" s="104"/>
      <c r="B185" s="51" t="s">
        <v>32</v>
      </c>
      <c r="C185" s="44"/>
      <c r="D185" s="45"/>
      <c r="E185" s="45"/>
      <c r="F185" s="45"/>
      <c r="G185" s="45"/>
      <c r="H185" s="45"/>
      <c r="I185" s="45"/>
      <c r="J185" s="45"/>
      <c r="K185" s="45"/>
      <c r="L185" s="45"/>
      <c r="M185" s="46"/>
    </row>
    <row r="186" spans="1:13" outlineLevel="1" x14ac:dyDescent="0.25">
      <c r="A186" s="104"/>
      <c r="B186" s="54" t="s">
        <v>33</v>
      </c>
      <c r="C186" s="44">
        <f t="shared" ref="C186:M186" si="85">C98</f>
        <v>824922</v>
      </c>
      <c r="D186" s="44">
        <f t="shared" si="85"/>
        <v>842657.82300000009</v>
      </c>
      <c r="E186" s="44">
        <f t="shared" si="85"/>
        <v>861196.29510600015</v>
      </c>
      <c r="F186" s="44">
        <f t="shared" si="85"/>
        <v>880573.21174588508</v>
      </c>
      <c r="G186" s="44">
        <f t="shared" si="85"/>
        <v>900826.39561604033</v>
      </c>
      <c r="H186" s="44">
        <f t="shared" si="85"/>
        <v>921545.40271520917</v>
      </c>
      <c r="I186" s="44">
        <f t="shared" si="85"/>
        <v>943201.71967901662</v>
      </c>
      <c r="J186" s="44">
        <f t="shared" si="85"/>
        <v>964423.75837179448</v>
      </c>
      <c r="K186" s="44">
        <f t="shared" si="85"/>
        <v>986123.29293515987</v>
      </c>
      <c r="L186" s="44">
        <f t="shared" si="85"/>
        <v>1007818.0053797334</v>
      </c>
      <c r="M186" s="50">
        <f t="shared" si="85"/>
        <v>1029990.0014980875</v>
      </c>
    </row>
    <row r="187" spans="1:13" outlineLevel="1" x14ac:dyDescent="0.25">
      <c r="A187" s="104"/>
      <c r="B187" s="54" t="s">
        <v>16</v>
      </c>
      <c r="C187" s="44">
        <f t="shared" ref="C187:M187" si="86">C93</f>
        <v>104895</v>
      </c>
      <c r="D187" s="44">
        <f t="shared" si="86"/>
        <v>105489.78134932289</v>
      </c>
      <c r="E187" s="44">
        <f t="shared" si="86"/>
        <v>107536.08420166852</v>
      </c>
      <c r="F187" s="44">
        <f t="shared" si="86"/>
        <v>109655.01654755196</v>
      </c>
      <c r="G187" s="44">
        <f t="shared" si="86"/>
        <v>111782.89694348049</v>
      </c>
      <c r="H187" s="44">
        <f t="shared" si="86"/>
        <v>113986.1575151266</v>
      </c>
      <c r="I187" s="44">
        <f t="shared" si="86"/>
        <v>116198.87260126341</v>
      </c>
      <c r="J187" s="44">
        <f t="shared" si="86"/>
        <v>118455.05533893798</v>
      </c>
      <c r="K187" s="44">
        <f t="shared" si="86"/>
        <v>120755.5632814283</v>
      </c>
      <c r="L187" s="44">
        <f t="shared" si="86"/>
        <v>123101.27095608163</v>
      </c>
      <c r="M187" s="50">
        <f t="shared" si="86"/>
        <v>125493.07020114094</v>
      </c>
    </row>
    <row r="188" spans="1:13" outlineLevel="1" x14ac:dyDescent="0.25">
      <c r="A188" s="104"/>
      <c r="B188" s="54" t="s">
        <v>34</v>
      </c>
      <c r="C188" s="44">
        <f t="shared" ref="C188:M188" si="87">C103</f>
        <v>176793</v>
      </c>
      <c r="D188" s="44">
        <f t="shared" si="87"/>
        <v>193636.93290671386</v>
      </c>
      <c r="E188" s="44">
        <f t="shared" si="87"/>
        <v>197403.57021153005</v>
      </c>
      <c r="F188" s="44">
        <f t="shared" si="87"/>
        <v>201320.47559796658</v>
      </c>
      <c r="G188" s="44">
        <f t="shared" si="87"/>
        <v>205237.54243232892</v>
      </c>
      <c r="H188" s="44">
        <f t="shared" si="87"/>
        <v>209310.53115624661</v>
      </c>
      <c r="I188" s="44">
        <f t="shared" si="87"/>
        <v>213384.04335874857</v>
      </c>
      <c r="J188" s="44">
        <f t="shared" si="87"/>
        <v>217537.54951602806</v>
      </c>
      <c r="K188" s="44">
        <f t="shared" si="87"/>
        <v>221772.62736284151</v>
      </c>
      <c r="L188" s="44">
        <f t="shared" si="87"/>
        <v>226090.88585647539</v>
      </c>
      <c r="M188" s="50">
        <f t="shared" si="87"/>
        <v>230493.96579621438</v>
      </c>
    </row>
    <row r="189" spans="1:13" outlineLevel="1" x14ac:dyDescent="0.25">
      <c r="A189" s="104"/>
      <c r="B189" s="54" t="s">
        <v>35</v>
      </c>
      <c r="C189" s="44">
        <f t="shared" ref="C189:M189" si="88">C88</f>
        <v>99062</v>
      </c>
      <c r="D189" s="44">
        <f t="shared" si="88"/>
        <v>100126.91650000001</v>
      </c>
      <c r="E189" s="44">
        <f t="shared" si="88"/>
        <v>101228.31258149999</v>
      </c>
      <c r="F189" s="44">
        <f t="shared" si="88"/>
        <v>102367.13109804186</v>
      </c>
      <c r="G189" s="44">
        <f t="shared" si="88"/>
        <v>103544.35310566935</v>
      </c>
      <c r="H189" s="44">
        <f t="shared" si="88"/>
        <v>104735.11316638454</v>
      </c>
      <c r="I189" s="44">
        <f t="shared" si="88"/>
        <v>105965.75074608956</v>
      </c>
      <c r="J189" s="44">
        <f t="shared" si="88"/>
        <v>107157.86544198306</v>
      </c>
      <c r="K189" s="44">
        <f t="shared" si="88"/>
        <v>108363.39142820536</v>
      </c>
      <c r="L189" s="44">
        <f t="shared" si="88"/>
        <v>109555.38873391561</v>
      </c>
      <c r="M189" s="50">
        <f t="shared" si="88"/>
        <v>110760.49800998866</v>
      </c>
    </row>
    <row r="190" spans="1:13" outlineLevel="1" x14ac:dyDescent="0.25">
      <c r="A190" s="104"/>
      <c r="B190" s="51" t="s">
        <v>36</v>
      </c>
      <c r="C190" s="44">
        <f>SUM(C186:C189)</f>
        <v>1205672</v>
      </c>
      <c r="D190" s="44">
        <f t="shared" ref="D190" si="89">SUM(D186:D189)</f>
        <v>1241911.4537560369</v>
      </c>
      <c r="E190" s="44">
        <f t="shared" ref="E190" si="90">SUM(E186:E189)</f>
        <v>1267364.2621006987</v>
      </c>
      <c r="F190" s="44">
        <f t="shared" ref="F190" si="91">SUM(F186:F189)</f>
        <v>1293915.8349894453</v>
      </c>
      <c r="G190" s="44">
        <f t="shared" ref="G190" si="92">SUM(G186:G189)</f>
        <v>1321391.1880975191</v>
      </c>
      <c r="H190" s="44">
        <f t="shared" ref="H190" si="93">SUM(H186:H189)</f>
        <v>1349577.2045529671</v>
      </c>
      <c r="I190" s="44">
        <f t="shared" ref="I190" si="94">SUM(I186:I189)</f>
        <v>1378750.3863851181</v>
      </c>
      <c r="J190" s="44">
        <f t="shared" ref="J190" si="95">SUM(J186:J189)</f>
        <v>1407574.2286687435</v>
      </c>
      <c r="K190" s="44">
        <f t="shared" ref="K190" si="96">SUM(K186:K189)</f>
        <v>1437014.875007635</v>
      </c>
      <c r="L190" s="44">
        <f t="shared" ref="L190" si="97">SUM(L186:L189)</f>
        <v>1466565.5509262059</v>
      </c>
      <c r="M190" s="50">
        <f t="shared" ref="M190" si="98">SUM(M186:M189)</f>
        <v>1496737.5355054315</v>
      </c>
    </row>
    <row r="191" spans="1:13" ht="7.5" customHeight="1" outlineLevel="1" x14ac:dyDescent="0.25">
      <c r="A191" s="104"/>
      <c r="B191" s="55"/>
      <c r="C191" s="44"/>
      <c r="D191" s="45"/>
      <c r="E191" s="45"/>
      <c r="F191" s="45"/>
      <c r="G191" s="45"/>
      <c r="H191" s="45"/>
      <c r="I191" s="45"/>
      <c r="J191" s="45"/>
      <c r="K191" s="45"/>
      <c r="L191" s="45"/>
      <c r="M191" s="46"/>
    </row>
    <row r="192" spans="1:13" outlineLevel="1" x14ac:dyDescent="0.25">
      <c r="A192" s="104"/>
      <c r="B192" s="56" t="s">
        <v>58</v>
      </c>
      <c r="C192" s="52">
        <f>C190+C183+C181+C179+C177+C175</f>
        <v>4521538</v>
      </c>
      <c r="D192" s="52">
        <f t="shared" ref="D192:M192" si="99">D190+D183+D181+D179+D177+D175</f>
        <v>4468405.5249432642</v>
      </c>
      <c r="E192" s="52">
        <f t="shared" si="99"/>
        <v>4553577.3471633326</v>
      </c>
      <c r="F192" s="52">
        <f t="shared" si="99"/>
        <v>4578168.1364443665</v>
      </c>
      <c r="G192" s="52">
        <f t="shared" si="99"/>
        <v>4640140.9105883203</v>
      </c>
      <c r="H192" s="52">
        <f t="shared" si="99"/>
        <v>4729505.1826472785</v>
      </c>
      <c r="I192" s="52">
        <f t="shared" si="99"/>
        <v>4815929.3055990431</v>
      </c>
      <c r="J192" s="52">
        <f t="shared" si="99"/>
        <v>4911441.2243708139</v>
      </c>
      <c r="K192" s="52">
        <f t="shared" si="99"/>
        <v>4993586.6352027301</v>
      </c>
      <c r="L192" s="52">
        <f t="shared" si="99"/>
        <v>5081375.981171893</v>
      </c>
      <c r="M192" s="53">
        <f t="shared" si="99"/>
        <v>5175785.1081318893</v>
      </c>
    </row>
    <row r="193" spans="1:13" ht="15.75" outlineLevel="1" thickBot="1" x14ac:dyDescent="0.3">
      <c r="A193" s="104"/>
      <c r="B193" s="57"/>
      <c r="C193" s="58"/>
      <c r="D193" s="58"/>
      <c r="E193" s="58"/>
      <c r="F193" s="58"/>
      <c r="G193" s="58"/>
      <c r="H193" s="58"/>
      <c r="I193" s="58"/>
      <c r="J193" s="58"/>
      <c r="K193" s="58"/>
      <c r="L193" s="58"/>
      <c r="M193" s="59"/>
    </row>
    <row r="194" spans="1:13" ht="15.75" outlineLevel="1" thickTop="1" x14ac:dyDescent="0.25">
      <c r="A194" s="104"/>
      <c r="B194" s="56" t="s">
        <v>59</v>
      </c>
      <c r="C194" s="52">
        <f>C167-C192</f>
        <v>0</v>
      </c>
      <c r="D194" s="52">
        <f t="shared" ref="D194:M194" si="100">D167-D192</f>
        <v>0</v>
      </c>
      <c r="E194" s="52">
        <f t="shared" si="100"/>
        <v>0</v>
      </c>
      <c r="F194" s="52">
        <f t="shared" si="100"/>
        <v>0</v>
      </c>
      <c r="G194" s="52">
        <f t="shared" si="100"/>
        <v>0</v>
      </c>
      <c r="H194" s="52">
        <f t="shared" si="100"/>
        <v>0</v>
      </c>
      <c r="I194" s="52">
        <f t="shared" si="100"/>
        <v>0</v>
      </c>
      <c r="J194" s="52">
        <f t="shared" si="100"/>
        <v>0</v>
      </c>
      <c r="K194" s="52">
        <f t="shared" si="100"/>
        <v>0</v>
      </c>
      <c r="L194" s="52">
        <f t="shared" si="100"/>
        <v>0</v>
      </c>
      <c r="M194" s="53">
        <f t="shared" si="100"/>
        <v>0</v>
      </c>
    </row>
    <row r="195" spans="1:13" ht="15.75" outlineLevel="1" thickBot="1" x14ac:dyDescent="0.3">
      <c r="A195" s="104"/>
      <c r="B195" s="66" t="s">
        <v>67</v>
      </c>
      <c r="C195" s="67"/>
      <c r="D195" s="68">
        <f t="shared" ref="D195:M195" si="101">((D192-D166-D165)-C164)/C164</f>
        <v>2.4174449034148861E-2</v>
      </c>
      <c r="E195" s="68">
        <f t="shared" si="101"/>
        <v>1.9579923219571201E-2</v>
      </c>
      <c r="F195" s="68">
        <f t="shared" si="101"/>
        <v>4.6734588149012681E-3</v>
      </c>
      <c r="G195" s="68">
        <f t="shared" si="101"/>
        <v>1.3489978513894557E-2</v>
      </c>
      <c r="H195" s="68">
        <f t="shared" si="101"/>
        <v>1.9711170766663198E-2</v>
      </c>
      <c r="I195" s="68">
        <f t="shared" si="101"/>
        <v>1.8597325745198765E-2</v>
      </c>
      <c r="J195" s="68">
        <f t="shared" si="101"/>
        <v>2.03368929628823E-2</v>
      </c>
      <c r="K195" s="68">
        <f t="shared" si="101"/>
        <v>1.6943778897702419E-2</v>
      </c>
      <c r="L195" s="68">
        <f t="shared" si="101"/>
        <v>1.789088129023815E-2</v>
      </c>
      <c r="M195" s="69">
        <f t="shared" si="101"/>
        <v>1.896620297654342E-2</v>
      </c>
    </row>
    <row r="196" spans="1:13" ht="15.75" thickBot="1" x14ac:dyDescent="0.3">
      <c r="B196" s="64"/>
      <c r="C196" s="65"/>
      <c r="D196" s="64"/>
      <c r="E196" s="64"/>
      <c r="F196" s="64"/>
      <c r="G196" s="64"/>
      <c r="H196" s="64"/>
      <c r="I196" s="64"/>
      <c r="J196" s="64"/>
      <c r="K196" s="64"/>
      <c r="L196" s="64"/>
      <c r="M196" s="64"/>
    </row>
    <row r="197" spans="1:13" ht="21" customHeight="1" outlineLevel="1" x14ac:dyDescent="0.35">
      <c r="A197" s="104"/>
      <c r="B197" s="101" t="s">
        <v>85</v>
      </c>
      <c r="C197" s="102"/>
      <c r="D197" s="102"/>
      <c r="E197" s="102"/>
      <c r="F197" s="102"/>
      <c r="G197" s="102"/>
      <c r="H197" s="102"/>
      <c r="I197" s="102"/>
      <c r="J197" s="102"/>
      <c r="K197" s="102"/>
      <c r="L197" s="102"/>
      <c r="M197" s="103"/>
    </row>
    <row r="198" spans="1:13" outlineLevel="1" x14ac:dyDescent="0.25">
      <c r="A198" s="104"/>
      <c r="B198" s="43"/>
      <c r="C198" s="44"/>
      <c r="D198" s="45"/>
      <c r="E198" s="45"/>
      <c r="F198" s="45"/>
      <c r="G198" s="45"/>
      <c r="H198" s="45"/>
      <c r="I198" s="45"/>
      <c r="J198" s="45"/>
      <c r="K198" s="45"/>
      <c r="L198" s="45"/>
      <c r="M198" s="46"/>
    </row>
    <row r="199" spans="1:13" ht="15.75" outlineLevel="1" x14ac:dyDescent="0.25">
      <c r="A199" s="104"/>
      <c r="B199" s="43"/>
      <c r="C199" s="71">
        <v>2024</v>
      </c>
      <c r="D199" s="71">
        <v>2025</v>
      </c>
      <c r="E199" s="71">
        <v>2026</v>
      </c>
      <c r="F199" s="71">
        <v>2027</v>
      </c>
      <c r="G199" s="71">
        <v>2028</v>
      </c>
      <c r="H199" s="71">
        <v>2029</v>
      </c>
      <c r="I199" s="71">
        <v>2030</v>
      </c>
      <c r="J199" s="71">
        <v>2031</v>
      </c>
      <c r="K199" s="71">
        <v>2032</v>
      </c>
      <c r="L199" s="71">
        <v>2033</v>
      </c>
      <c r="M199" s="72">
        <v>2034</v>
      </c>
    </row>
    <row r="200" spans="1:13" outlineLevel="1" x14ac:dyDescent="0.25">
      <c r="A200" s="104"/>
      <c r="B200" s="43" t="s">
        <v>48</v>
      </c>
      <c r="C200" s="44"/>
      <c r="D200" s="45"/>
      <c r="E200" s="45"/>
      <c r="F200" s="45"/>
      <c r="G200" s="45"/>
      <c r="H200" s="45"/>
      <c r="I200" s="45"/>
      <c r="J200" s="45"/>
      <c r="K200" s="45"/>
      <c r="L200" s="45"/>
      <c r="M200" s="46"/>
    </row>
    <row r="201" spans="1:13" outlineLevel="1" x14ac:dyDescent="0.25">
      <c r="A201" s="104"/>
      <c r="B201" s="49" t="s">
        <v>61</v>
      </c>
      <c r="C201" s="44">
        <v>3235288</v>
      </c>
      <c r="D201" s="44">
        <f t="shared" ref="D201:M201" si="102">C201*(1+D111)</f>
        <v>3374038.4539811527</v>
      </c>
      <c r="E201" s="44">
        <f t="shared" si="102"/>
        <v>3500286.6978853322</v>
      </c>
      <c r="F201" s="44">
        <f t="shared" si="102"/>
        <v>3531535.3172146012</v>
      </c>
      <c r="G201" s="44">
        <f t="shared" si="102"/>
        <v>3576964.6644330118</v>
      </c>
      <c r="H201" s="44">
        <f t="shared" si="102"/>
        <v>3645126.474015641</v>
      </c>
      <c r="I201" s="44">
        <f t="shared" si="102"/>
        <v>3697897.7489023474</v>
      </c>
      <c r="J201" s="44">
        <f t="shared" si="102"/>
        <v>3770956.3055877588</v>
      </c>
      <c r="K201" s="44">
        <f t="shared" si="102"/>
        <v>3850233.1087346245</v>
      </c>
      <c r="L201" s="44">
        <f t="shared" si="102"/>
        <v>3935090.6887794994</v>
      </c>
      <c r="M201" s="50">
        <f t="shared" si="102"/>
        <v>3946784.7769857976</v>
      </c>
    </row>
    <row r="202" spans="1:13" outlineLevel="1" x14ac:dyDescent="0.25">
      <c r="A202" s="104"/>
      <c r="B202" s="49" t="s">
        <v>62</v>
      </c>
      <c r="C202" s="44">
        <v>684406</v>
      </c>
      <c r="D202" s="44">
        <f>C202*(1+3%)</f>
        <v>704938.18</v>
      </c>
      <c r="E202" s="44">
        <f t="shared" ref="E202" si="103">D202*(1+3%)</f>
        <v>726086.32540000009</v>
      </c>
      <c r="F202" s="44">
        <f>E202*(1+2%)</f>
        <v>740608.05190800014</v>
      </c>
      <c r="G202" s="44">
        <f t="shared" ref="G202:H202" si="104">F202*(1+2%)</f>
        <v>755420.21294616011</v>
      </c>
      <c r="H202" s="44">
        <f t="shared" si="104"/>
        <v>770528.61720508337</v>
      </c>
      <c r="I202" s="44">
        <f>H202*(1+1%)</f>
        <v>778233.90337713424</v>
      </c>
      <c r="J202" s="44">
        <f t="shared" ref="J202:M202" si="105">I202*(1+1%)</f>
        <v>786016.24241090554</v>
      </c>
      <c r="K202" s="44">
        <f t="shared" si="105"/>
        <v>793876.4048350146</v>
      </c>
      <c r="L202" s="44">
        <f t="shared" si="105"/>
        <v>801815.16888336476</v>
      </c>
      <c r="M202" s="50">
        <f t="shared" si="105"/>
        <v>809833.32057219837</v>
      </c>
    </row>
    <row r="203" spans="1:13" outlineLevel="1" x14ac:dyDescent="0.25">
      <c r="A203" s="104"/>
      <c r="B203" s="49" t="s">
        <v>52</v>
      </c>
      <c r="C203" s="44">
        <v>325000</v>
      </c>
      <c r="D203" s="44">
        <f>229000*(1+D25)</f>
        <v>233923.50000000003</v>
      </c>
      <c r="E203" s="44">
        <f t="shared" ref="E203:M203" si="106">229000*(1+E25)</f>
        <v>234038</v>
      </c>
      <c r="F203" s="44">
        <f t="shared" si="106"/>
        <v>234152.5</v>
      </c>
      <c r="G203" s="44">
        <f t="shared" si="106"/>
        <v>234266.99999999997</v>
      </c>
      <c r="H203" s="44">
        <f t="shared" si="106"/>
        <v>234266.99999999997</v>
      </c>
      <c r="I203" s="44">
        <f t="shared" si="106"/>
        <v>234381.50000000003</v>
      </c>
      <c r="J203" s="44">
        <f t="shared" si="106"/>
        <v>234152.5</v>
      </c>
      <c r="K203" s="44">
        <f t="shared" si="106"/>
        <v>234152.5</v>
      </c>
      <c r="L203" s="44">
        <f t="shared" si="106"/>
        <v>234038</v>
      </c>
      <c r="M203" s="50">
        <f t="shared" si="106"/>
        <v>234038</v>
      </c>
    </row>
    <row r="204" spans="1:13" outlineLevel="1" x14ac:dyDescent="0.25">
      <c r="A204" s="104"/>
      <c r="B204" s="49" t="s">
        <v>31</v>
      </c>
      <c r="C204" s="44">
        <v>150000</v>
      </c>
      <c r="D204" s="44">
        <v>50000</v>
      </c>
      <c r="E204" s="44">
        <v>0</v>
      </c>
      <c r="F204" s="44">
        <v>0</v>
      </c>
      <c r="G204" s="44">
        <v>0</v>
      </c>
      <c r="H204" s="44">
        <v>0</v>
      </c>
      <c r="I204" s="44">
        <v>0</v>
      </c>
      <c r="J204" s="44">
        <v>0</v>
      </c>
      <c r="K204" s="44">
        <v>0</v>
      </c>
      <c r="L204" s="44">
        <v>0</v>
      </c>
      <c r="M204" s="50">
        <v>0</v>
      </c>
    </row>
    <row r="205" spans="1:13" outlineLevel="1" x14ac:dyDescent="0.25">
      <c r="A205" s="104"/>
      <c r="B205" s="51" t="s">
        <v>55</v>
      </c>
      <c r="C205" s="52">
        <f t="shared" ref="C205:M205" si="107">SUM(C201:C204)</f>
        <v>4394694</v>
      </c>
      <c r="D205" s="52">
        <f t="shared" si="107"/>
        <v>4362900.1339811534</v>
      </c>
      <c r="E205" s="52">
        <f t="shared" si="107"/>
        <v>4460411.0232853321</v>
      </c>
      <c r="F205" s="52">
        <f t="shared" si="107"/>
        <v>4506295.8691226011</v>
      </c>
      <c r="G205" s="52">
        <f t="shared" si="107"/>
        <v>4566651.8773791716</v>
      </c>
      <c r="H205" s="52">
        <f t="shared" si="107"/>
        <v>4649922.0912207244</v>
      </c>
      <c r="I205" s="52">
        <f t="shared" si="107"/>
        <v>4710513.1522794813</v>
      </c>
      <c r="J205" s="52">
        <f t="shared" si="107"/>
        <v>4791125.047998664</v>
      </c>
      <c r="K205" s="52">
        <f t="shared" si="107"/>
        <v>4878262.0135696391</v>
      </c>
      <c r="L205" s="52">
        <f t="shared" si="107"/>
        <v>4970943.857662864</v>
      </c>
      <c r="M205" s="53">
        <f t="shared" si="107"/>
        <v>4990656.0975579955</v>
      </c>
    </row>
    <row r="206" spans="1:13" outlineLevel="1" x14ac:dyDescent="0.25">
      <c r="A206" s="104"/>
      <c r="B206" s="43"/>
      <c r="C206" s="44"/>
      <c r="D206" s="44"/>
      <c r="E206" s="44"/>
      <c r="F206" s="44"/>
      <c r="G206" s="44"/>
      <c r="H206" s="44"/>
      <c r="I206" s="44"/>
      <c r="J206" s="44"/>
      <c r="K206" s="44"/>
      <c r="L206" s="44"/>
      <c r="M206" s="50"/>
    </row>
    <row r="207" spans="1:13" outlineLevel="1" x14ac:dyDescent="0.25">
      <c r="A207" s="104"/>
      <c r="B207" s="43" t="s">
        <v>57</v>
      </c>
      <c r="C207" s="44"/>
      <c r="D207" s="44"/>
      <c r="E207" s="44"/>
      <c r="F207" s="44"/>
      <c r="G207" s="44"/>
      <c r="H207" s="44"/>
      <c r="I207" s="44"/>
      <c r="J207" s="44"/>
      <c r="K207" s="44"/>
      <c r="L207" s="44"/>
      <c r="M207" s="50"/>
    </row>
    <row r="208" spans="1:13" outlineLevel="1" x14ac:dyDescent="0.25">
      <c r="A208" s="104"/>
      <c r="B208" s="51" t="s">
        <v>25</v>
      </c>
      <c r="C208" s="47"/>
      <c r="D208" s="47"/>
      <c r="E208" s="47"/>
      <c r="F208" s="47"/>
      <c r="G208" s="47"/>
      <c r="H208" s="47"/>
      <c r="I208" s="47"/>
      <c r="J208" s="47"/>
      <c r="K208" s="47"/>
      <c r="L208" s="47"/>
      <c r="M208" s="48"/>
    </row>
    <row r="209" spans="1:13" outlineLevel="1" x14ac:dyDescent="0.25">
      <c r="A209" s="104"/>
      <c r="B209" s="54" t="s">
        <v>1</v>
      </c>
      <c r="C209" s="44">
        <f t="shared" ref="C209:M209" si="108">C43</f>
        <v>630942.43836000003</v>
      </c>
      <c r="D209" s="44">
        <f t="shared" si="108"/>
        <v>643561.28712720005</v>
      </c>
      <c r="E209" s="44">
        <f t="shared" si="108"/>
        <v>656432.5128697441</v>
      </c>
      <c r="F209" s="44">
        <f t="shared" si="108"/>
        <v>669561.16312713898</v>
      </c>
      <c r="G209" s="44">
        <f t="shared" si="108"/>
        <v>682952.38638968172</v>
      </c>
      <c r="H209" s="44">
        <f t="shared" si="108"/>
        <v>696611.43411747541</v>
      </c>
      <c r="I209" s="44">
        <f t="shared" si="108"/>
        <v>710543.66279982496</v>
      </c>
      <c r="J209" s="44">
        <f t="shared" si="108"/>
        <v>724754.53605582146</v>
      </c>
      <c r="K209" s="44">
        <f t="shared" si="108"/>
        <v>739249.62677693786</v>
      </c>
      <c r="L209" s="44">
        <f t="shared" si="108"/>
        <v>754034.6193124766</v>
      </c>
      <c r="M209" s="50">
        <f t="shared" si="108"/>
        <v>769115.31169872615</v>
      </c>
    </row>
    <row r="210" spans="1:13" outlineLevel="1" x14ac:dyDescent="0.25">
      <c r="A210" s="104"/>
      <c r="B210" s="54" t="s">
        <v>2</v>
      </c>
      <c r="C210" s="44">
        <f t="shared" ref="C210:M210" si="109">C44</f>
        <v>316378.00556144642</v>
      </c>
      <c r="D210" s="44">
        <f t="shared" si="109"/>
        <v>322705.56567267538</v>
      </c>
      <c r="E210" s="44">
        <f t="shared" si="109"/>
        <v>329159.67698612891</v>
      </c>
      <c r="F210" s="44">
        <f t="shared" si="109"/>
        <v>335742.8705258515</v>
      </c>
      <c r="G210" s="44">
        <f t="shared" si="109"/>
        <v>342457.72793636855</v>
      </c>
      <c r="H210" s="44">
        <f t="shared" si="109"/>
        <v>349306.88249509595</v>
      </c>
      <c r="I210" s="44">
        <f t="shared" si="109"/>
        <v>356293.02014499786</v>
      </c>
      <c r="J210" s="44">
        <f t="shared" si="109"/>
        <v>363418.88054789783</v>
      </c>
      <c r="K210" s="44">
        <f t="shared" si="109"/>
        <v>370687.25815885578</v>
      </c>
      <c r="L210" s="44">
        <f t="shared" si="109"/>
        <v>378101.00332203292</v>
      </c>
      <c r="M210" s="50">
        <f t="shared" si="109"/>
        <v>385663.02338847361</v>
      </c>
    </row>
    <row r="211" spans="1:13" outlineLevel="1" x14ac:dyDescent="0.25">
      <c r="A211" s="104"/>
      <c r="B211" s="54" t="s">
        <v>3</v>
      </c>
      <c r="C211" s="44">
        <f t="shared" ref="C211:M211" si="110">C45</f>
        <v>103991.37984028498</v>
      </c>
      <c r="D211" s="44">
        <f t="shared" si="110"/>
        <v>106071.20743709068</v>
      </c>
      <c r="E211" s="44">
        <f t="shared" si="110"/>
        <v>107662.27554864703</v>
      </c>
      <c r="F211" s="44">
        <f t="shared" si="110"/>
        <v>109815.52105961998</v>
      </c>
      <c r="G211" s="44">
        <f t="shared" si="110"/>
        <v>111462.75387551426</v>
      </c>
      <c r="H211" s="44">
        <f t="shared" si="110"/>
        <v>113692.00895302455</v>
      </c>
      <c r="I211" s="44">
        <f t="shared" si="110"/>
        <v>115397.3890873199</v>
      </c>
      <c r="J211" s="44">
        <f t="shared" si="110"/>
        <v>117128.34992362969</v>
      </c>
      <c r="K211" s="44">
        <f t="shared" si="110"/>
        <v>118885.27517248412</v>
      </c>
      <c r="L211" s="44">
        <f t="shared" si="110"/>
        <v>120668.55430007137</v>
      </c>
      <c r="M211" s="50">
        <f t="shared" si="110"/>
        <v>122478.58261457243</v>
      </c>
    </row>
    <row r="212" spans="1:13" outlineLevel="1" x14ac:dyDescent="0.25">
      <c r="A212" s="104"/>
      <c r="B212" s="54" t="s">
        <v>26</v>
      </c>
      <c r="C212" s="44">
        <f>C53+423-6</f>
        <v>107467.17623826857</v>
      </c>
      <c r="D212" s="44">
        <f t="shared" ref="D212:M212" si="111">D53</f>
        <v>108938.83074295682</v>
      </c>
      <c r="E212" s="44">
        <f t="shared" si="111"/>
        <v>110965.86680389785</v>
      </c>
      <c r="F212" s="44">
        <f t="shared" si="111"/>
        <v>112928.08530422834</v>
      </c>
      <c r="G212" s="44">
        <f t="shared" si="111"/>
        <v>115033.7081195799</v>
      </c>
      <c r="H212" s="44">
        <f t="shared" si="111"/>
        <v>117072.36596206055</v>
      </c>
      <c r="I212" s="44">
        <f t="shared" si="111"/>
        <v>119259.63375246424</v>
      </c>
      <c r="J212" s="44">
        <f t="shared" si="111"/>
        <v>121490.10110577391</v>
      </c>
      <c r="K212" s="44">
        <f t="shared" si="111"/>
        <v>123764.62382635419</v>
      </c>
      <c r="L212" s="44">
        <f t="shared" si="111"/>
        <v>126084.07471185349</v>
      </c>
      <c r="M212" s="50">
        <f t="shared" si="111"/>
        <v>128449.34389122784</v>
      </c>
    </row>
    <row r="213" spans="1:13" outlineLevel="1" x14ac:dyDescent="0.25">
      <c r="A213" s="104"/>
      <c r="B213" s="51" t="s">
        <v>27</v>
      </c>
      <c r="C213" s="44">
        <f t="shared" ref="C213:M213" si="112">SUM(C209:C212)</f>
        <v>1158779</v>
      </c>
      <c r="D213" s="44">
        <f t="shared" si="112"/>
        <v>1181276.8909799228</v>
      </c>
      <c r="E213" s="44">
        <f t="shared" si="112"/>
        <v>1204220.3322084178</v>
      </c>
      <c r="F213" s="44">
        <f t="shared" si="112"/>
        <v>1228047.6400168389</v>
      </c>
      <c r="G213" s="44">
        <f t="shared" si="112"/>
        <v>1251906.5763211444</v>
      </c>
      <c r="H213" s="44">
        <f t="shared" si="112"/>
        <v>1276682.6915276565</v>
      </c>
      <c r="I213" s="44">
        <f t="shared" si="112"/>
        <v>1301493.705784607</v>
      </c>
      <c r="J213" s="44">
        <f t="shared" si="112"/>
        <v>1326791.867633123</v>
      </c>
      <c r="K213" s="44">
        <f t="shared" si="112"/>
        <v>1352586.7839346321</v>
      </c>
      <c r="L213" s="44">
        <f t="shared" si="112"/>
        <v>1378888.2516464344</v>
      </c>
      <c r="M213" s="50">
        <f t="shared" si="112"/>
        <v>1405706.261593</v>
      </c>
    </row>
    <row r="214" spans="1:13" ht="7.5" customHeight="1" outlineLevel="1" x14ac:dyDescent="0.25">
      <c r="A214" s="104"/>
      <c r="B214" s="55"/>
      <c r="C214" s="44"/>
      <c r="D214" s="45"/>
      <c r="E214" s="45"/>
      <c r="F214" s="45"/>
      <c r="G214" s="45"/>
      <c r="H214" s="45"/>
      <c r="I214" s="45"/>
      <c r="J214" s="45"/>
      <c r="K214" s="45"/>
      <c r="L214" s="45"/>
      <c r="M214" s="46"/>
    </row>
    <row r="215" spans="1:13" outlineLevel="1" x14ac:dyDescent="0.25">
      <c r="A215" s="104"/>
      <c r="B215" s="51" t="s">
        <v>28</v>
      </c>
      <c r="C215" s="44">
        <f t="shared" ref="C215:M215" si="113">C58</f>
        <v>71000</v>
      </c>
      <c r="D215" s="44">
        <f t="shared" si="113"/>
        <v>72526.5</v>
      </c>
      <c r="E215" s="44">
        <f t="shared" si="113"/>
        <v>74122.082999999999</v>
      </c>
      <c r="F215" s="44">
        <f t="shared" si="113"/>
        <v>75789.829867499997</v>
      </c>
      <c r="G215" s="44">
        <f t="shared" si="113"/>
        <v>77532.99595445249</v>
      </c>
      <c r="H215" s="44">
        <f t="shared" si="113"/>
        <v>79316.254861404886</v>
      </c>
      <c r="I215" s="44">
        <f t="shared" si="113"/>
        <v>81180.186850647908</v>
      </c>
      <c r="J215" s="44">
        <f t="shared" si="113"/>
        <v>83006.74105478749</v>
      </c>
      <c r="K215" s="44">
        <f t="shared" si="113"/>
        <v>84874.392728520208</v>
      </c>
      <c r="L215" s="44">
        <f t="shared" si="113"/>
        <v>86741.629368547656</v>
      </c>
      <c r="M215" s="50">
        <f t="shared" si="113"/>
        <v>88649.945214655701</v>
      </c>
    </row>
    <row r="216" spans="1:13" ht="7.5" customHeight="1" outlineLevel="1" x14ac:dyDescent="0.25">
      <c r="A216" s="104"/>
      <c r="B216" s="55"/>
      <c r="C216" s="44"/>
      <c r="D216" s="44"/>
      <c r="E216" s="44"/>
      <c r="F216" s="44"/>
      <c r="G216" s="44"/>
      <c r="H216" s="44"/>
      <c r="I216" s="44"/>
      <c r="J216" s="44"/>
      <c r="K216" s="44"/>
      <c r="L216" s="44"/>
      <c r="M216" s="50"/>
    </row>
    <row r="217" spans="1:13" outlineLevel="1" x14ac:dyDescent="0.25">
      <c r="A217" s="104"/>
      <c r="B217" s="51" t="s">
        <v>29</v>
      </c>
      <c r="C217" s="44">
        <f t="shared" ref="C217:M217" si="114">C63</f>
        <v>1425849</v>
      </c>
      <c r="D217" s="44">
        <f t="shared" si="114"/>
        <v>1456504.7535000001</v>
      </c>
      <c r="E217" s="44">
        <f t="shared" si="114"/>
        <v>1488547.8580770001</v>
      </c>
      <c r="F217" s="44">
        <f t="shared" si="114"/>
        <v>1522040.1848837326</v>
      </c>
      <c r="G217" s="44">
        <f t="shared" si="114"/>
        <v>1557047.1091360583</v>
      </c>
      <c r="H217" s="44">
        <f t="shared" si="114"/>
        <v>1592859.1926461875</v>
      </c>
      <c r="I217" s="44">
        <f t="shared" si="114"/>
        <v>1630291.3836733729</v>
      </c>
      <c r="J217" s="44">
        <f t="shared" si="114"/>
        <v>1666972.9398060238</v>
      </c>
      <c r="K217" s="44">
        <f t="shared" si="114"/>
        <v>1704479.8309516592</v>
      </c>
      <c r="L217" s="44">
        <f t="shared" si="114"/>
        <v>1741978.3872325958</v>
      </c>
      <c r="M217" s="50">
        <f t="shared" si="114"/>
        <v>1780301.9117517129</v>
      </c>
    </row>
    <row r="218" spans="1:13" ht="7.5" customHeight="1" outlineLevel="1" x14ac:dyDescent="0.25">
      <c r="A218" s="104"/>
      <c r="B218" s="55"/>
      <c r="C218" s="44"/>
      <c r="D218" s="45"/>
      <c r="E218" s="45"/>
      <c r="F218" s="45"/>
      <c r="G218" s="45"/>
      <c r="H218" s="45"/>
      <c r="I218" s="45"/>
      <c r="J218" s="45"/>
      <c r="K218" s="45"/>
      <c r="L218" s="45"/>
      <c r="M218" s="46"/>
    </row>
    <row r="219" spans="1:13" outlineLevel="1" x14ac:dyDescent="0.25">
      <c r="A219" s="104"/>
      <c r="B219" s="51" t="s">
        <v>30</v>
      </c>
      <c r="C219" s="44">
        <f>C68+C73</f>
        <v>586888</v>
      </c>
      <c r="D219" s="44">
        <f>IF($D$28="Yes",D79+D73,D73+D68)</f>
        <v>589876</v>
      </c>
      <c r="E219" s="44">
        <f t="shared" ref="E219:M219" si="115">IF($D$28="Yes",E79+E73,E73+E68)</f>
        <v>609333</v>
      </c>
      <c r="F219" s="44">
        <f t="shared" si="115"/>
        <v>573821</v>
      </c>
      <c r="G219" s="44">
        <f t="shared" si="115"/>
        <v>550397</v>
      </c>
      <c r="H219" s="44">
        <f t="shared" si="115"/>
        <v>547511</v>
      </c>
      <c r="I219" s="44">
        <f t="shared" si="115"/>
        <v>519396</v>
      </c>
      <c r="J219" s="44">
        <f t="shared" si="115"/>
        <v>511891</v>
      </c>
      <c r="K219" s="44">
        <f t="shared" si="115"/>
        <v>509028</v>
      </c>
      <c r="L219" s="44">
        <f t="shared" si="115"/>
        <v>511116</v>
      </c>
      <c r="M219" s="50">
        <f t="shared" si="115"/>
        <v>438328</v>
      </c>
    </row>
    <row r="220" spans="1:13" ht="7.5" customHeight="1" outlineLevel="1" x14ac:dyDescent="0.25">
      <c r="A220" s="104"/>
      <c r="B220" s="55"/>
      <c r="C220" s="44"/>
      <c r="D220" s="45"/>
      <c r="E220" s="45"/>
      <c r="F220" s="45"/>
      <c r="G220" s="45"/>
      <c r="H220" s="45"/>
      <c r="I220" s="45"/>
      <c r="J220" s="45"/>
      <c r="K220" s="45"/>
      <c r="L220" s="45"/>
      <c r="M220" s="46"/>
    </row>
    <row r="221" spans="1:13" outlineLevel="1" x14ac:dyDescent="0.25">
      <c r="A221" s="104"/>
      <c r="B221" s="51" t="s">
        <v>31</v>
      </c>
      <c r="C221" s="44">
        <f t="shared" ref="C221:M221" si="116">C84</f>
        <v>137242</v>
      </c>
      <c r="D221" s="44">
        <f t="shared" si="116"/>
        <v>15000</v>
      </c>
      <c r="E221" s="44">
        <f t="shared" si="116"/>
        <v>15000</v>
      </c>
      <c r="F221" s="44">
        <f t="shared" si="116"/>
        <v>15000</v>
      </c>
      <c r="G221" s="44">
        <f t="shared" si="116"/>
        <v>15000</v>
      </c>
      <c r="H221" s="44">
        <f t="shared" si="116"/>
        <v>15000</v>
      </c>
      <c r="I221" s="44">
        <f t="shared" si="116"/>
        <v>15000</v>
      </c>
      <c r="J221" s="44">
        <f t="shared" si="116"/>
        <v>15000</v>
      </c>
      <c r="K221" s="44">
        <f t="shared" si="116"/>
        <v>15000</v>
      </c>
      <c r="L221" s="44">
        <f t="shared" si="116"/>
        <v>15000</v>
      </c>
      <c r="M221" s="50">
        <f t="shared" si="116"/>
        <v>15000</v>
      </c>
    </row>
    <row r="222" spans="1:13" ht="7.5" customHeight="1" outlineLevel="1" x14ac:dyDescent="0.25">
      <c r="A222" s="104"/>
      <c r="B222" s="55"/>
      <c r="C222" s="44"/>
      <c r="D222" s="45"/>
      <c r="E222" s="45"/>
      <c r="F222" s="45"/>
      <c r="G222" s="45"/>
      <c r="H222" s="45"/>
      <c r="I222" s="45"/>
      <c r="J222" s="45"/>
      <c r="K222" s="45"/>
      <c r="L222" s="45"/>
      <c r="M222" s="46"/>
    </row>
    <row r="223" spans="1:13" outlineLevel="1" x14ac:dyDescent="0.25">
      <c r="A223" s="104"/>
      <c r="B223" s="51" t="s">
        <v>32</v>
      </c>
      <c r="C223" s="44"/>
      <c r="D223" s="45"/>
      <c r="E223" s="45"/>
      <c r="F223" s="45"/>
      <c r="G223" s="45"/>
      <c r="H223" s="45"/>
      <c r="I223" s="45"/>
      <c r="J223" s="45"/>
      <c r="K223" s="45"/>
      <c r="L223" s="45"/>
      <c r="M223" s="46"/>
    </row>
    <row r="224" spans="1:13" outlineLevel="1" x14ac:dyDescent="0.25">
      <c r="A224" s="104"/>
      <c r="B224" s="54" t="s">
        <v>33</v>
      </c>
      <c r="C224" s="44">
        <f t="shared" ref="C224:M224" si="117">C99</f>
        <v>690206</v>
      </c>
      <c r="D224" s="44">
        <f t="shared" si="117"/>
        <v>705045.429</v>
      </c>
      <c r="E224" s="44">
        <f t="shared" si="117"/>
        <v>720556.42843800003</v>
      </c>
      <c r="F224" s="44">
        <f t="shared" si="117"/>
        <v>736768.94807785505</v>
      </c>
      <c r="G224" s="44">
        <f t="shared" si="117"/>
        <v>753714.63388364564</v>
      </c>
      <c r="H224" s="44">
        <f t="shared" si="117"/>
        <v>771050.07046296948</v>
      </c>
      <c r="I224" s="44">
        <f t="shared" si="117"/>
        <v>789169.74711884931</v>
      </c>
      <c r="J224" s="44">
        <f t="shared" si="117"/>
        <v>806926.0664290234</v>
      </c>
      <c r="K224" s="44">
        <f t="shared" si="117"/>
        <v>825081.90292367642</v>
      </c>
      <c r="L224" s="44">
        <f t="shared" si="117"/>
        <v>843233.7047879973</v>
      </c>
      <c r="M224" s="50">
        <f t="shared" si="117"/>
        <v>861784.84629333322</v>
      </c>
    </row>
    <row r="225" spans="1:13" outlineLevel="1" x14ac:dyDescent="0.25">
      <c r="A225" s="104"/>
      <c r="B225" s="54" t="s">
        <v>16</v>
      </c>
      <c r="C225" s="44">
        <f t="shared" ref="C225:M225" si="118">C94</f>
        <v>91063</v>
      </c>
      <c r="D225" s="44">
        <f t="shared" si="118"/>
        <v>90367.682159964097</v>
      </c>
      <c r="E225" s="44">
        <f t="shared" si="118"/>
        <v>92122.855413943966</v>
      </c>
      <c r="F225" s="44">
        <f t="shared" si="118"/>
        <v>93945.644461288175</v>
      </c>
      <c r="G225" s="44">
        <f t="shared" si="118"/>
        <v>95770.853088567543</v>
      </c>
      <c r="H225" s="44">
        <f t="shared" si="118"/>
        <v>97666.225901865721</v>
      </c>
      <c r="I225" s="44">
        <f t="shared" si="118"/>
        <v>99564.268492522431</v>
      </c>
      <c r="J225" s="44">
        <f t="shared" si="118"/>
        <v>101499.5778739339</v>
      </c>
      <c r="K225" s="44">
        <f t="shared" si="118"/>
        <v>103472.88897099935</v>
      </c>
      <c r="L225" s="44">
        <f t="shared" si="118"/>
        <v>105484.95125095223</v>
      </c>
      <c r="M225" s="50">
        <f t="shared" si="118"/>
        <v>107536.52901186451</v>
      </c>
    </row>
    <row r="226" spans="1:13" outlineLevel="1" x14ac:dyDescent="0.25">
      <c r="A226" s="104"/>
      <c r="B226" s="54" t="s">
        <v>34</v>
      </c>
      <c r="C226" s="44">
        <f t="shared" ref="C226:M226" si="119">C104</f>
        <v>151688</v>
      </c>
      <c r="D226" s="44">
        <f t="shared" si="119"/>
        <v>169021.12134126664</v>
      </c>
      <c r="E226" s="44">
        <f t="shared" si="119"/>
        <v>172310.60982097036</v>
      </c>
      <c r="F226" s="44">
        <f t="shared" si="119"/>
        <v>175737.5396047087</v>
      </c>
      <c r="G226" s="44">
        <f t="shared" si="119"/>
        <v>179158.45833920318</v>
      </c>
      <c r="H226" s="44">
        <f t="shared" si="119"/>
        <v>182721.97628199394</v>
      </c>
      <c r="I226" s="44">
        <f t="shared" si="119"/>
        <v>186279.58333625621</v>
      </c>
      <c r="J226" s="44">
        <f t="shared" si="119"/>
        <v>189907.02256203539</v>
      </c>
      <c r="K226" s="44">
        <f t="shared" si="119"/>
        <v>193605.67080321824</v>
      </c>
      <c r="L226" s="44">
        <f t="shared" si="119"/>
        <v>197376.93214357618</v>
      </c>
      <c r="M226" s="50">
        <f t="shared" si="119"/>
        <v>201222.2384471079</v>
      </c>
    </row>
    <row r="227" spans="1:13" outlineLevel="1" x14ac:dyDescent="0.25">
      <c r="A227" s="104"/>
      <c r="B227" s="54" t="s">
        <v>35</v>
      </c>
      <c r="C227" s="44">
        <f t="shared" ref="C227:M227" si="120">C89</f>
        <v>82396</v>
      </c>
      <c r="D227" s="44">
        <f t="shared" si="120"/>
        <v>83281.756999999998</v>
      </c>
      <c r="E227" s="44">
        <f t="shared" si="120"/>
        <v>84197.856326999987</v>
      </c>
      <c r="F227" s="44">
        <f t="shared" si="120"/>
        <v>85145.082210678738</v>
      </c>
      <c r="G227" s="44">
        <f t="shared" si="120"/>
        <v>86124.250656101547</v>
      </c>
      <c r="H227" s="44">
        <f t="shared" si="120"/>
        <v>87114.679538646727</v>
      </c>
      <c r="I227" s="44">
        <f t="shared" si="120"/>
        <v>88138.277023225819</v>
      </c>
      <c r="J227" s="44">
        <f t="shared" si="120"/>
        <v>89129.832639737113</v>
      </c>
      <c r="K227" s="44">
        <f t="shared" si="120"/>
        <v>90132.54325693415</v>
      </c>
      <c r="L227" s="44">
        <f t="shared" si="120"/>
        <v>91124.00123276042</v>
      </c>
      <c r="M227" s="50">
        <f t="shared" si="120"/>
        <v>92126.365246320769</v>
      </c>
    </row>
    <row r="228" spans="1:13" outlineLevel="1" x14ac:dyDescent="0.25">
      <c r="A228" s="104"/>
      <c r="B228" s="51" t="s">
        <v>36</v>
      </c>
      <c r="C228" s="44">
        <f>SUM(C224:C227)-417</f>
        <v>1014936</v>
      </c>
      <c r="D228" s="44">
        <f t="shared" ref="D228" si="121">SUM(D224:D227)</f>
        <v>1047715.9895012308</v>
      </c>
      <c r="E228" s="44">
        <f t="shared" ref="E228" si="122">SUM(E224:E227)</f>
        <v>1069187.7499999143</v>
      </c>
      <c r="F228" s="44">
        <f t="shared" ref="F228" si="123">SUM(F224:F227)</f>
        <v>1091597.2143545307</v>
      </c>
      <c r="G228" s="44">
        <f t="shared" ref="G228" si="124">SUM(G224:G227)</f>
        <v>1114768.1959675178</v>
      </c>
      <c r="H228" s="44">
        <f t="shared" ref="H228" si="125">SUM(H224:H227)</f>
        <v>1138552.952185476</v>
      </c>
      <c r="I228" s="44">
        <f t="shared" ref="I228" si="126">SUM(I224:I227)</f>
        <v>1163151.8759708537</v>
      </c>
      <c r="J228" s="44">
        <f t="shared" ref="J228" si="127">SUM(J224:J227)</f>
        <v>1187462.4995047299</v>
      </c>
      <c r="K228" s="44">
        <f t="shared" ref="K228" si="128">SUM(K224:K227)</f>
        <v>1212293.0059548281</v>
      </c>
      <c r="L228" s="44">
        <f t="shared" ref="L228" si="129">SUM(L224:L227)</f>
        <v>1237219.5894152862</v>
      </c>
      <c r="M228" s="50">
        <f t="shared" ref="M228" si="130">SUM(M224:M227)</f>
        <v>1262669.9789986263</v>
      </c>
    </row>
    <row r="229" spans="1:13" ht="7.5" customHeight="1" outlineLevel="1" x14ac:dyDescent="0.25">
      <c r="A229" s="104"/>
      <c r="B229" s="55"/>
      <c r="C229" s="44"/>
      <c r="D229" s="45"/>
      <c r="E229" s="45"/>
      <c r="F229" s="45"/>
      <c r="G229" s="45"/>
      <c r="H229" s="45"/>
      <c r="I229" s="45"/>
      <c r="J229" s="45"/>
      <c r="K229" s="45"/>
      <c r="L229" s="45"/>
      <c r="M229" s="46"/>
    </row>
    <row r="230" spans="1:13" outlineLevel="1" x14ac:dyDescent="0.25">
      <c r="A230" s="104"/>
      <c r="B230" s="56" t="s">
        <v>58</v>
      </c>
      <c r="C230" s="52">
        <f>C228+C221+C219+C217+C215+C213</f>
        <v>4394694</v>
      </c>
      <c r="D230" s="52">
        <f t="shared" ref="D230:M230" si="131">D228+D221+D219+D217+D215+D213</f>
        <v>4362900.1339811534</v>
      </c>
      <c r="E230" s="52">
        <f t="shared" si="131"/>
        <v>4460411.0232853321</v>
      </c>
      <c r="F230" s="52">
        <f t="shared" si="131"/>
        <v>4506295.869122602</v>
      </c>
      <c r="G230" s="52">
        <f t="shared" si="131"/>
        <v>4566651.8773791725</v>
      </c>
      <c r="H230" s="52">
        <f t="shared" si="131"/>
        <v>4649922.0912207244</v>
      </c>
      <c r="I230" s="52">
        <f t="shared" si="131"/>
        <v>4710513.1522794813</v>
      </c>
      <c r="J230" s="52">
        <f t="shared" si="131"/>
        <v>4791125.047998664</v>
      </c>
      <c r="K230" s="52">
        <f t="shared" si="131"/>
        <v>4878262.0135696391</v>
      </c>
      <c r="L230" s="52">
        <f t="shared" si="131"/>
        <v>4970943.857662864</v>
      </c>
      <c r="M230" s="53">
        <f t="shared" si="131"/>
        <v>4990656.0975579955</v>
      </c>
    </row>
    <row r="231" spans="1:13" ht="15.75" outlineLevel="1" thickBot="1" x14ac:dyDescent="0.3">
      <c r="A231" s="104"/>
      <c r="B231" s="60"/>
      <c r="C231" s="61"/>
      <c r="D231" s="62"/>
      <c r="E231" s="62"/>
      <c r="F231" s="62"/>
      <c r="G231" s="62"/>
      <c r="H231" s="62"/>
      <c r="I231" s="62"/>
      <c r="J231" s="62"/>
      <c r="K231" s="62"/>
      <c r="L231" s="62"/>
      <c r="M231" s="63"/>
    </row>
    <row r="232" spans="1:13" ht="15.75" outlineLevel="1" thickTop="1" x14ac:dyDescent="0.25">
      <c r="A232" s="104"/>
      <c r="B232" s="56" t="s">
        <v>59</v>
      </c>
      <c r="C232" s="52">
        <f>C205-C230</f>
        <v>0</v>
      </c>
      <c r="D232" s="52">
        <f t="shared" ref="D232:M232" si="132">D205-D230</f>
        <v>0</v>
      </c>
      <c r="E232" s="52">
        <f t="shared" si="132"/>
        <v>0</v>
      </c>
      <c r="F232" s="52">
        <f t="shared" si="132"/>
        <v>0</v>
      </c>
      <c r="G232" s="52">
        <f t="shared" si="132"/>
        <v>0</v>
      </c>
      <c r="H232" s="52">
        <f t="shared" si="132"/>
        <v>0</v>
      </c>
      <c r="I232" s="52">
        <f t="shared" si="132"/>
        <v>0</v>
      </c>
      <c r="J232" s="52">
        <f t="shared" si="132"/>
        <v>0</v>
      </c>
      <c r="K232" s="52">
        <f t="shared" si="132"/>
        <v>0</v>
      </c>
      <c r="L232" s="52">
        <f t="shared" si="132"/>
        <v>0</v>
      </c>
      <c r="M232" s="53">
        <f t="shared" si="132"/>
        <v>0</v>
      </c>
    </row>
    <row r="233" spans="1:13" ht="15.75" outlineLevel="1" thickBot="1" x14ac:dyDescent="0.3">
      <c r="A233" s="104"/>
      <c r="B233" s="66" t="s">
        <v>70</v>
      </c>
      <c r="C233" s="67"/>
      <c r="D233" s="68">
        <f>((D230-D204-D203-D202)-C201)/C201</f>
        <v>4.2886585052444547E-2</v>
      </c>
      <c r="E233" s="68">
        <f t="shared" ref="E233:M233" si="133">((E230-E204-E203-E202)-D201)/D201</f>
        <v>3.7417547436430207E-2</v>
      </c>
      <c r="F233" s="68">
        <f t="shared" si="133"/>
        <v>8.9274456712783255E-3</v>
      </c>
      <c r="G233" s="68">
        <f t="shared" si="133"/>
        <v>1.2863908509413453E-2</v>
      </c>
      <c r="H233" s="68">
        <f t="shared" si="133"/>
        <v>1.9055768221695205E-2</v>
      </c>
      <c r="I233" s="68">
        <f t="shared" si="133"/>
        <v>1.4477213688712047E-2</v>
      </c>
      <c r="J233" s="68">
        <f t="shared" si="133"/>
        <v>1.9756781189284367E-2</v>
      </c>
      <c r="K233" s="68">
        <f t="shared" si="133"/>
        <v>2.1022997012559982E-2</v>
      </c>
      <c r="L233" s="68">
        <f t="shared" si="133"/>
        <v>2.2039595434460144E-2</v>
      </c>
      <c r="M233" s="69">
        <f t="shared" si="133"/>
        <v>2.9717455406154149E-3</v>
      </c>
    </row>
    <row r="234" spans="1:13" ht="15.75" thickBot="1" x14ac:dyDescent="0.3"/>
    <row r="235" spans="1:13" ht="21" outlineLevel="1" x14ac:dyDescent="0.35">
      <c r="A235" s="104"/>
      <c r="B235" s="101" t="s">
        <v>86</v>
      </c>
      <c r="C235" s="102"/>
      <c r="D235" s="102"/>
      <c r="E235" s="102"/>
      <c r="F235" s="102"/>
      <c r="G235" s="102"/>
      <c r="H235" s="102"/>
      <c r="I235" s="102"/>
      <c r="J235" s="102"/>
      <c r="K235" s="102"/>
      <c r="L235" s="102"/>
      <c r="M235" s="103"/>
    </row>
    <row r="236" spans="1:13" outlineLevel="1" x14ac:dyDescent="0.25">
      <c r="A236" s="104"/>
      <c r="B236" s="43"/>
      <c r="C236" s="44"/>
      <c r="D236" s="45"/>
      <c r="E236" s="45"/>
      <c r="F236" s="45"/>
      <c r="G236" s="45"/>
      <c r="H236" s="45"/>
      <c r="I236" s="45"/>
      <c r="J236" s="45"/>
      <c r="K236" s="45"/>
      <c r="L236" s="45"/>
      <c r="M236" s="46"/>
    </row>
    <row r="237" spans="1:13" ht="15.75" outlineLevel="1" x14ac:dyDescent="0.25">
      <c r="A237" s="104"/>
      <c r="B237" s="43"/>
      <c r="C237" s="71">
        <v>2024</v>
      </c>
      <c r="D237" s="71">
        <v>2025</v>
      </c>
      <c r="E237" s="71">
        <v>2026</v>
      </c>
      <c r="F237" s="71">
        <v>2027</v>
      </c>
      <c r="G237" s="71">
        <v>2028</v>
      </c>
      <c r="H237" s="71">
        <v>2029</v>
      </c>
      <c r="I237" s="71">
        <v>2030</v>
      </c>
      <c r="J237" s="71">
        <v>2031</v>
      </c>
      <c r="K237" s="71">
        <v>2032</v>
      </c>
      <c r="L237" s="71">
        <v>2033</v>
      </c>
      <c r="M237" s="72">
        <v>2034</v>
      </c>
    </row>
    <row r="238" spans="1:13" ht="15.75" outlineLevel="1" x14ac:dyDescent="0.25">
      <c r="A238" s="104"/>
      <c r="B238" s="43" t="s">
        <v>48</v>
      </c>
      <c r="C238" s="73"/>
      <c r="D238" s="74"/>
      <c r="E238" s="74"/>
      <c r="F238" s="74"/>
      <c r="G238" s="74"/>
      <c r="H238" s="74"/>
      <c r="I238" s="74"/>
      <c r="J238" s="74"/>
      <c r="K238" s="74"/>
      <c r="L238" s="74"/>
      <c r="M238" s="75"/>
    </row>
    <row r="239" spans="1:13" outlineLevel="1" x14ac:dyDescent="0.25">
      <c r="A239" s="104"/>
      <c r="B239" s="70" t="s">
        <v>68</v>
      </c>
      <c r="C239" s="44">
        <v>1411835</v>
      </c>
      <c r="D239" s="44">
        <f t="shared" ref="D239:M239" si="134">C239*(1+D112)</f>
        <v>1411835</v>
      </c>
      <c r="E239" s="44">
        <f t="shared" si="134"/>
        <v>1411835</v>
      </c>
      <c r="F239" s="44">
        <f t="shared" si="134"/>
        <v>1429225.7111062654</v>
      </c>
      <c r="G239" s="44">
        <f t="shared" si="134"/>
        <v>1461021.5024617091</v>
      </c>
      <c r="H239" s="44">
        <f t="shared" si="134"/>
        <v>1513548.597018328</v>
      </c>
      <c r="I239" s="44">
        <f t="shared" si="134"/>
        <v>1547547.1890482591</v>
      </c>
      <c r="J239" s="44">
        <f t="shared" si="134"/>
        <v>1580864.000801845</v>
      </c>
      <c r="K239" s="44">
        <f t="shared" si="134"/>
        <v>1614930.4408198863</v>
      </c>
      <c r="L239" s="44">
        <f t="shared" si="134"/>
        <v>1648989.3105179239</v>
      </c>
      <c r="M239" s="50">
        <f t="shared" si="134"/>
        <v>1683797.4753493182</v>
      </c>
    </row>
    <row r="240" spans="1:13" outlineLevel="1" x14ac:dyDescent="0.25">
      <c r="A240" s="104"/>
      <c r="B240" s="70" t="s">
        <v>52</v>
      </c>
      <c r="C240" s="44">
        <v>18200</v>
      </c>
      <c r="D240" s="44">
        <f>C240</f>
        <v>18200</v>
      </c>
      <c r="E240" s="44">
        <f t="shared" ref="E240:M240" si="135">D240</f>
        <v>18200</v>
      </c>
      <c r="F240" s="44">
        <f t="shared" si="135"/>
        <v>18200</v>
      </c>
      <c r="G240" s="44">
        <f t="shared" si="135"/>
        <v>18200</v>
      </c>
      <c r="H240" s="44">
        <f t="shared" si="135"/>
        <v>18200</v>
      </c>
      <c r="I240" s="44">
        <f t="shared" si="135"/>
        <v>18200</v>
      </c>
      <c r="J240" s="44">
        <f t="shared" si="135"/>
        <v>18200</v>
      </c>
      <c r="K240" s="44">
        <f t="shared" si="135"/>
        <v>18200</v>
      </c>
      <c r="L240" s="44">
        <f t="shared" si="135"/>
        <v>18200</v>
      </c>
      <c r="M240" s="50">
        <f t="shared" si="135"/>
        <v>18200</v>
      </c>
    </row>
    <row r="241" spans="1:13" outlineLevel="1" x14ac:dyDescent="0.25">
      <c r="A241" s="104"/>
      <c r="B241" s="56" t="s">
        <v>55</v>
      </c>
      <c r="C241" s="52">
        <f t="shared" ref="C241:M241" si="136">SUM(C239:C240)</f>
        <v>1430035</v>
      </c>
      <c r="D241" s="52">
        <f t="shared" si="136"/>
        <v>1430035</v>
      </c>
      <c r="E241" s="52">
        <f t="shared" si="136"/>
        <v>1430035</v>
      </c>
      <c r="F241" s="52">
        <f t="shared" si="136"/>
        <v>1447425.7111062654</v>
      </c>
      <c r="G241" s="52">
        <f t="shared" si="136"/>
        <v>1479221.5024617091</v>
      </c>
      <c r="H241" s="52">
        <f t="shared" si="136"/>
        <v>1531748.597018328</v>
      </c>
      <c r="I241" s="52">
        <f t="shared" si="136"/>
        <v>1565747.1890482591</v>
      </c>
      <c r="J241" s="52">
        <f t="shared" si="136"/>
        <v>1599064.000801845</v>
      </c>
      <c r="K241" s="52">
        <f t="shared" si="136"/>
        <v>1633130.4408198863</v>
      </c>
      <c r="L241" s="52">
        <f t="shared" si="136"/>
        <v>1667189.3105179239</v>
      </c>
      <c r="M241" s="53">
        <f t="shared" si="136"/>
        <v>1701997.4753493182</v>
      </c>
    </row>
    <row r="242" spans="1:13" outlineLevel="1" x14ac:dyDescent="0.25">
      <c r="A242" s="104"/>
      <c r="B242" s="43"/>
      <c r="C242" s="44"/>
      <c r="D242" s="44"/>
      <c r="E242" s="44"/>
      <c r="F242" s="44"/>
      <c r="G242" s="44"/>
      <c r="H242" s="44"/>
      <c r="I242" s="44"/>
      <c r="J242" s="44"/>
      <c r="K242" s="44"/>
      <c r="L242" s="44"/>
      <c r="M242" s="50"/>
    </row>
    <row r="243" spans="1:13" outlineLevel="1" x14ac:dyDescent="0.25">
      <c r="A243" s="104"/>
      <c r="B243" s="43" t="s">
        <v>57</v>
      </c>
      <c r="C243" s="44"/>
      <c r="D243" s="44"/>
      <c r="E243" s="44"/>
      <c r="F243" s="44"/>
      <c r="G243" s="44"/>
      <c r="H243" s="44"/>
      <c r="I243" s="44"/>
      <c r="J243" s="44"/>
      <c r="K243" s="44"/>
      <c r="L243" s="44"/>
      <c r="M243" s="50"/>
    </row>
    <row r="244" spans="1:13" outlineLevel="1" x14ac:dyDescent="0.25">
      <c r="A244" s="104"/>
      <c r="B244" s="70" t="s">
        <v>28</v>
      </c>
      <c r="C244" s="44">
        <v>23500</v>
      </c>
      <c r="D244" s="44">
        <v>20641</v>
      </c>
      <c r="E244" s="44">
        <v>28029</v>
      </c>
      <c r="F244" s="44">
        <v>15000</v>
      </c>
      <c r="G244" s="44">
        <f t="shared" ref="G244:M244" si="137">F244</f>
        <v>15000</v>
      </c>
      <c r="H244" s="44">
        <f t="shared" si="137"/>
        <v>15000</v>
      </c>
      <c r="I244" s="44">
        <f t="shared" si="137"/>
        <v>15000</v>
      </c>
      <c r="J244" s="44">
        <f t="shared" si="137"/>
        <v>15000</v>
      </c>
      <c r="K244" s="44">
        <f t="shared" si="137"/>
        <v>15000</v>
      </c>
      <c r="L244" s="44">
        <f t="shared" si="137"/>
        <v>15000</v>
      </c>
      <c r="M244" s="44">
        <f t="shared" si="137"/>
        <v>15000</v>
      </c>
    </row>
    <row r="245" spans="1:13" outlineLevel="1" x14ac:dyDescent="0.25">
      <c r="A245" s="104"/>
      <c r="B245" s="70" t="s">
        <v>29</v>
      </c>
      <c r="C245" s="44">
        <f>1370058-75000</f>
        <v>1295058</v>
      </c>
      <c r="D245" s="44">
        <f t="shared" ref="D245:M245" si="138">C245*(1+D25)</f>
        <v>1322901.7470000002</v>
      </c>
      <c r="E245" s="44">
        <f t="shared" si="138"/>
        <v>1352005.5854340002</v>
      </c>
      <c r="F245" s="44">
        <f t="shared" si="138"/>
        <v>1382425.7111062652</v>
      </c>
      <c r="G245" s="44">
        <f t="shared" si="138"/>
        <v>1414221.5024617091</v>
      </c>
      <c r="H245" s="44">
        <f t="shared" si="138"/>
        <v>1446748.5970183283</v>
      </c>
      <c r="I245" s="44">
        <f t="shared" si="138"/>
        <v>1480747.1890482591</v>
      </c>
      <c r="J245" s="44">
        <f t="shared" si="138"/>
        <v>1514064.0008018448</v>
      </c>
      <c r="K245" s="44">
        <f t="shared" si="138"/>
        <v>1548130.4408198863</v>
      </c>
      <c r="L245" s="44">
        <f t="shared" si="138"/>
        <v>1582189.3105179239</v>
      </c>
      <c r="M245" s="50">
        <f t="shared" si="138"/>
        <v>1616997.4753493182</v>
      </c>
    </row>
    <row r="246" spans="1:13" outlineLevel="1" x14ac:dyDescent="0.25">
      <c r="A246" s="104"/>
      <c r="B246" s="70" t="s">
        <v>30</v>
      </c>
      <c r="C246" s="44">
        <f>34740+1737</f>
        <v>36477</v>
      </c>
      <c r="D246" s="44">
        <v>36492</v>
      </c>
      <c r="E246" s="44">
        <v>0</v>
      </c>
      <c r="F246" s="44">
        <v>0</v>
      </c>
      <c r="G246" s="44">
        <v>0</v>
      </c>
      <c r="H246" s="44">
        <v>0</v>
      </c>
      <c r="I246" s="44">
        <v>0</v>
      </c>
      <c r="J246" s="44">
        <v>0</v>
      </c>
      <c r="K246" s="44">
        <v>0</v>
      </c>
      <c r="L246" s="44">
        <v>0</v>
      </c>
      <c r="M246" s="50">
        <v>0</v>
      </c>
    </row>
    <row r="247" spans="1:13" outlineLevel="1" x14ac:dyDescent="0.25">
      <c r="A247" s="104"/>
      <c r="B247" s="70" t="s">
        <v>31</v>
      </c>
      <c r="C247" s="44">
        <v>75000</v>
      </c>
      <c r="D247" s="44">
        <v>50000</v>
      </c>
      <c r="E247" s="44">
        <f t="shared" ref="E247:M247" si="139">D247</f>
        <v>50000</v>
      </c>
      <c r="F247" s="44">
        <v>50000</v>
      </c>
      <c r="G247" s="44">
        <f t="shared" si="139"/>
        <v>50000</v>
      </c>
      <c r="H247" s="44">
        <v>70000</v>
      </c>
      <c r="I247" s="44">
        <f t="shared" si="139"/>
        <v>70000</v>
      </c>
      <c r="J247" s="44">
        <f t="shared" si="139"/>
        <v>70000</v>
      </c>
      <c r="K247" s="44">
        <f t="shared" si="139"/>
        <v>70000</v>
      </c>
      <c r="L247" s="44">
        <f t="shared" si="139"/>
        <v>70000</v>
      </c>
      <c r="M247" s="50">
        <f t="shared" si="139"/>
        <v>70000</v>
      </c>
    </row>
    <row r="248" spans="1:13" outlineLevel="1" x14ac:dyDescent="0.25">
      <c r="A248" s="104"/>
      <c r="B248" s="56" t="s">
        <v>58</v>
      </c>
      <c r="C248" s="52">
        <f>C244+C245+C246+C247</f>
        <v>1430035</v>
      </c>
      <c r="D248" s="52">
        <f t="shared" ref="D248:M248" si="140">D244+D245+D246+D247</f>
        <v>1430034.7470000002</v>
      </c>
      <c r="E248" s="52">
        <f t="shared" si="140"/>
        <v>1430034.5854340002</v>
      </c>
      <c r="F248" s="52">
        <f t="shared" si="140"/>
        <v>1447425.7111062652</v>
      </c>
      <c r="G248" s="52">
        <f t="shared" si="140"/>
        <v>1479221.5024617091</v>
      </c>
      <c r="H248" s="52">
        <f t="shared" si="140"/>
        <v>1531748.5970183283</v>
      </c>
      <c r="I248" s="52">
        <f t="shared" si="140"/>
        <v>1565747.1890482591</v>
      </c>
      <c r="J248" s="52">
        <f t="shared" si="140"/>
        <v>1599064.0008018448</v>
      </c>
      <c r="K248" s="52">
        <f t="shared" si="140"/>
        <v>1633130.4408198863</v>
      </c>
      <c r="L248" s="52">
        <f t="shared" si="140"/>
        <v>1667189.3105179239</v>
      </c>
      <c r="M248" s="53">
        <f t="shared" si="140"/>
        <v>1701997.4753493182</v>
      </c>
    </row>
    <row r="249" spans="1:13" ht="15.75" outlineLevel="1" thickBot="1" x14ac:dyDescent="0.3">
      <c r="A249" s="104"/>
      <c r="B249" s="60"/>
      <c r="C249" s="61"/>
      <c r="D249" s="62"/>
      <c r="E249" s="62"/>
      <c r="F249" s="62"/>
      <c r="G249" s="62"/>
      <c r="H249" s="62"/>
      <c r="I249" s="62"/>
      <c r="J249" s="62"/>
      <c r="K249" s="62"/>
      <c r="L249" s="62"/>
      <c r="M249" s="63"/>
    </row>
    <row r="250" spans="1:13" ht="15.75" outlineLevel="1" thickTop="1" x14ac:dyDescent="0.25">
      <c r="A250" s="104"/>
      <c r="B250" s="56" t="s">
        <v>59</v>
      </c>
      <c r="C250" s="52">
        <f>C241-C248</f>
        <v>0</v>
      </c>
      <c r="D250" s="52">
        <f t="shared" ref="D250:M250" si="141">D241-D248</f>
        <v>0.25299999979324639</v>
      </c>
      <c r="E250" s="52">
        <f t="shared" si="141"/>
        <v>0.41456599975936115</v>
      </c>
      <c r="F250" s="52">
        <f t="shared" si="141"/>
        <v>0</v>
      </c>
      <c r="G250" s="52">
        <f t="shared" si="141"/>
        <v>0</v>
      </c>
      <c r="H250" s="52">
        <f t="shared" si="141"/>
        <v>0</v>
      </c>
      <c r="I250" s="52">
        <f t="shared" si="141"/>
        <v>0</v>
      </c>
      <c r="J250" s="52">
        <f t="shared" si="141"/>
        <v>0</v>
      </c>
      <c r="K250" s="52">
        <f t="shared" si="141"/>
        <v>0</v>
      </c>
      <c r="L250" s="52">
        <f t="shared" si="141"/>
        <v>0</v>
      </c>
      <c r="M250" s="53">
        <f t="shared" si="141"/>
        <v>0</v>
      </c>
    </row>
    <row r="251" spans="1:13" ht="15.75" outlineLevel="1" thickBot="1" x14ac:dyDescent="0.3">
      <c r="A251" s="104"/>
      <c r="B251" s="66" t="s">
        <v>69</v>
      </c>
      <c r="C251" s="67"/>
      <c r="D251" s="68">
        <f>((D248-D240)-C239)/C239</f>
        <v>-1.791994105495659E-7</v>
      </c>
      <c r="E251" s="68">
        <f>((E248-E240)-D239)/D239</f>
        <v>-2.9363629585564969E-7</v>
      </c>
      <c r="F251" s="68">
        <f t="shared" ref="F251:M251" si="142">((F248-F240)-E239)/E239</f>
        <v>1.2317807042795509E-2</v>
      </c>
      <c r="G251" s="68">
        <f t="shared" si="142"/>
        <v>2.2246864934183638E-2</v>
      </c>
      <c r="H251" s="68">
        <f t="shared" si="142"/>
        <v>3.5952307661533428E-2</v>
      </c>
      <c r="I251" s="68">
        <f t="shared" si="142"/>
        <v>2.2462834755955525E-2</v>
      </c>
      <c r="J251" s="68">
        <f t="shared" si="142"/>
        <v>2.1528785674106345E-2</v>
      </c>
      <c r="K251" s="68">
        <f t="shared" si="142"/>
        <v>2.1549254079264332E-2</v>
      </c>
      <c r="L251" s="68">
        <f t="shared" si="142"/>
        <v>2.1089991765060934E-2</v>
      </c>
      <c r="M251" s="69">
        <f t="shared" si="142"/>
        <v>2.1108787430806075E-2</v>
      </c>
    </row>
  </sheetData>
  <mergeCells count="11">
    <mergeCell ref="B2:M9"/>
    <mergeCell ref="B235:M235"/>
    <mergeCell ref="A114:A158"/>
    <mergeCell ref="A160:A195"/>
    <mergeCell ref="A197:A233"/>
    <mergeCell ref="A235:A251"/>
    <mergeCell ref="B114:M114"/>
    <mergeCell ref="B160:M160"/>
    <mergeCell ref="B197:M197"/>
    <mergeCell ref="B10:M10"/>
    <mergeCell ref="B28:C28"/>
  </mergeCells>
  <conditionalFormatting sqref="D157:M157 D194:M194 D232:M232">
    <cfRule type="cellIs" dxfId="1" priority="3" operator="lessThan">
      <formula>0</formula>
    </cfRule>
  </conditionalFormatting>
  <conditionalFormatting sqref="C250:M250">
    <cfRule type="cellIs" dxfId="0" priority="2" operator="lessThan">
      <formula>0</formula>
    </cfRule>
  </conditionalFormatting>
  <dataValidations count="1">
    <dataValidation type="list" allowBlank="1" showInputMessage="1" showErrorMessage="1" sqref="D28">
      <formula1>$O$17:$O$18</formula1>
    </dataValidation>
  </dataValidations>
  <hyperlinks>
    <hyperlink ref="B26" r:id="rId1" location="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Timothy Russo</cp:lastModifiedBy>
  <cp:lastPrinted>2022-02-28T18:11:51Z</cp:lastPrinted>
  <dcterms:created xsi:type="dcterms:W3CDTF">2022-02-28T15:39:16Z</dcterms:created>
  <dcterms:modified xsi:type="dcterms:W3CDTF">2023-10-03T14:23:40Z</dcterms:modified>
</cp:coreProperties>
</file>