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8800" windowHeight="12180" activeTab="2"/>
  </bookViews>
  <sheets>
    <sheet name="Property Taxes" sheetId="3" r:id="rId1"/>
    <sheet name="Tax Certificates" sheetId="4" r:id="rId2"/>
    <sheet name="Utility Receivables" sheetId="5" r:id="rId3"/>
    <sheet name="2022 Property Taxes" sheetId="1" state="hidden" r:id="rId4"/>
    <sheet name="2021 Property Taxes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0" i="5" l="1"/>
  <c r="T50" i="5"/>
  <c r="AB50" i="5" s="1"/>
  <c r="S50" i="5"/>
  <c r="Z50" i="5" s="1"/>
  <c r="AD50" i="5"/>
  <c r="S31" i="5"/>
  <c r="T31" i="5"/>
  <c r="U31" i="5"/>
  <c r="U32" i="5"/>
  <c r="T32" i="5"/>
  <c r="AB32" i="5" s="1"/>
  <c r="S32" i="5"/>
  <c r="Z32" i="5"/>
  <c r="AD32" i="5"/>
  <c r="T28" i="5"/>
  <c r="T29" i="5"/>
  <c r="V50" i="5" l="1"/>
  <c r="W50" i="5" s="1"/>
  <c r="V32" i="5"/>
  <c r="W32" i="5" s="1"/>
  <c r="I3" i="5"/>
  <c r="I39" i="5"/>
  <c r="I21" i="5"/>
  <c r="J12" i="3" l="1"/>
  <c r="U49" i="5" l="1"/>
  <c r="AD49" i="5" s="1"/>
  <c r="T49" i="5"/>
  <c r="AB49" i="5" s="1"/>
  <c r="S49" i="5"/>
  <c r="Z49" i="5" s="1"/>
  <c r="AD31" i="5"/>
  <c r="AB31" i="5"/>
  <c r="Z31" i="5"/>
  <c r="V31" i="5"/>
  <c r="W31" i="5" s="1"/>
  <c r="V49" i="5" l="1"/>
  <c r="W49" i="5" s="1"/>
  <c r="J11" i="3"/>
  <c r="Z47" i="5" l="1"/>
  <c r="AB47" i="5"/>
  <c r="AD47" i="5"/>
  <c r="S47" i="5"/>
  <c r="T47" i="5"/>
  <c r="U47" i="5"/>
  <c r="V47" i="5"/>
  <c r="W47" i="5"/>
  <c r="Z29" i="5"/>
  <c r="AB29" i="5"/>
  <c r="AD29" i="5"/>
  <c r="S29" i="5"/>
  <c r="U29" i="5"/>
  <c r="V29" i="5"/>
  <c r="W29" i="5"/>
  <c r="I11" i="5"/>
  <c r="AC10" i="3"/>
  <c r="Z46" i="5" l="1"/>
  <c r="Z28" i="5"/>
  <c r="S46" i="5"/>
  <c r="S28" i="5"/>
  <c r="T9" i="3" l="1"/>
  <c r="T10" i="3"/>
  <c r="T11" i="3"/>
  <c r="AC12" i="3" s="1"/>
  <c r="T12" i="3"/>
  <c r="T13" i="3"/>
  <c r="T14" i="3"/>
  <c r="AC9" i="3"/>
  <c r="J18" i="3"/>
  <c r="I28" i="5"/>
  <c r="I10" i="5"/>
  <c r="J9" i="3"/>
  <c r="I44" i="5" l="1"/>
  <c r="I24" i="5"/>
  <c r="I41" i="5"/>
  <c r="I23" i="5"/>
  <c r="I14" i="3"/>
  <c r="I16" i="3" s="1"/>
  <c r="I18" i="3" s="1"/>
  <c r="J7" i="3"/>
  <c r="J6" i="3"/>
  <c r="J5" i="3"/>
  <c r="H16" i="3"/>
  <c r="J4" i="3"/>
  <c r="J3" i="3"/>
  <c r="I17" i="5"/>
  <c r="J15" i="4"/>
  <c r="AB4" i="3"/>
  <c r="AB5" i="3" s="1"/>
  <c r="AB6" i="3" s="1"/>
  <c r="AB7" i="3" s="1"/>
  <c r="AB8" i="3" s="1"/>
  <c r="AB9" i="3" s="1"/>
  <c r="AB10" i="3" s="1"/>
  <c r="AB11" i="3" s="1"/>
  <c r="AB12" i="3" s="1"/>
  <c r="AB13" i="3" s="1"/>
  <c r="S14" i="3"/>
  <c r="S12" i="3"/>
  <c r="S11" i="3"/>
  <c r="S10" i="3"/>
  <c r="S9" i="3"/>
  <c r="S8" i="3"/>
  <c r="S7" i="3"/>
  <c r="S6" i="3"/>
  <c r="S5" i="3"/>
  <c r="S4" i="3"/>
  <c r="S3" i="3"/>
  <c r="I12" i="3"/>
  <c r="I10" i="3"/>
  <c r="I3" i="3"/>
  <c r="I17" i="3" s="1"/>
  <c r="I35" i="5" l="1"/>
  <c r="I36" i="5" s="1"/>
  <c r="U28" i="5"/>
  <c r="U46" i="5"/>
  <c r="I53" i="5"/>
  <c r="I54" i="5" s="1"/>
  <c r="I18" i="5"/>
  <c r="S13" i="3"/>
  <c r="AB14" i="3" s="1"/>
  <c r="AB15" i="3" s="1"/>
  <c r="H52" i="5"/>
  <c r="H39" i="5"/>
  <c r="H34" i="5"/>
  <c r="H21" i="5"/>
  <c r="H16" i="5"/>
  <c r="I15" i="4"/>
  <c r="AD46" i="5" l="1"/>
  <c r="AD28" i="5"/>
  <c r="H51" i="5"/>
  <c r="H33" i="5"/>
  <c r="H15" i="5"/>
  <c r="H50" i="5"/>
  <c r="H32" i="5"/>
  <c r="H14" i="5"/>
  <c r="H3" i="5"/>
  <c r="H49" i="5"/>
  <c r="H31" i="5"/>
  <c r="H13" i="5"/>
  <c r="H48" i="5" l="1"/>
  <c r="H47" i="5"/>
  <c r="H46" i="5"/>
  <c r="H45" i="5"/>
  <c r="H44" i="5"/>
  <c r="H42" i="5"/>
  <c r="H43" i="5"/>
  <c r="H41" i="5"/>
  <c r="T46" i="5" s="1"/>
  <c r="H29" i="5"/>
  <c r="AB46" i="5" l="1"/>
  <c r="V46" i="5"/>
  <c r="W46" i="5" s="1"/>
  <c r="H53" i="5"/>
  <c r="H54" i="5" s="1"/>
  <c r="H11" i="5"/>
  <c r="H10" i="5"/>
  <c r="H9" i="5"/>
  <c r="H8" i="5"/>
  <c r="H7" i="5"/>
  <c r="H5" i="5"/>
  <c r="H4" i="5"/>
  <c r="H17" i="5" s="1"/>
  <c r="H18" i="5" s="1"/>
  <c r="G52" i="5" l="1"/>
  <c r="G39" i="5"/>
  <c r="G16" i="5"/>
  <c r="H28" i="5" l="1"/>
  <c r="H27" i="5"/>
  <c r="H26" i="5"/>
  <c r="H25" i="5"/>
  <c r="H24" i="5"/>
  <c r="H23" i="5"/>
  <c r="G21" i="5"/>
  <c r="G34" i="5"/>
  <c r="H35" i="5" l="1"/>
  <c r="H36" i="5" s="1"/>
  <c r="J17" i="3"/>
  <c r="T3" i="3"/>
  <c r="AC4" i="3" s="1"/>
  <c r="H15" i="4"/>
  <c r="AB28" i="5" l="1"/>
  <c r="V28" i="5"/>
  <c r="W28" i="5" s="1"/>
  <c r="T8" i="3"/>
  <c r="T7" i="3"/>
  <c r="T6" i="3"/>
  <c r="T5" i="3"/>
  <c r="T4" i="3"/>
  <c r="AC5" i="3" s="1"/>
  <c r="G51" i="5"/>
  <c r="G33" i="5"/>
  <c r="G15" i="5"/>
  <c r="H14" i="3"/>
  <c r="AC6" i="3" l="1"/>
  <c r="AC7" i="3" s="1"/>
  <c r="AC8" i="3" s="1"/>
  <c r="AC11" i="3" s="1"/>
  <c r="AC13" i="3" s="1"/>
  <c r="AC14" i="3" s="1"/>
  <c r="AC15" i="3" s="1"/>
  <c r="G50" i="5"/>
  <c r="G32" i="5"/>
  <c r="G14" i="5"/>
  <c r="G3" i="5"/>
  <c r="H17" i="3" l="1"/>
  <c r="G49" i="5" l="1"/>
  <c r="G31" i="5"/>
  <c r="G13" i="5"/>
  <c r="H12" i="3"/>
  <c r="G48" i="5" l="1"/>
  <c r="G30" i="5"/>
  <c r="G12" i="5"/>
  <c r="G47" i="5" l="1"/>
  <c r="G29" i="5"/>
  <c r="G11" i="5"/>
  <c r="H10" i="3"/>
  <c r="G46" i="5" l="1"/>
  <c r="G28" i="5"/>
  <c r="G10" i="5"/>
  <c r="H9" i="3"/>
  <c r="G9" i="5" l="1"/>
  <c r="G44" i="5" l="1"/>
  <c r="G26" i="5"/>
  <c r="G8" i="5"/>
  <c r="H7" i="3"/>
  <c r="H18" i="3" s="1"/>
  <c r="G43" i="5" l="1"/>
  <c r="G25" i="5"/>
  <c r="G7" i="5"/>
  <c r="R6" i="3" l="1"/>
  <c r="R7" i="3"/>
  <c r="R8" i="3"/>
  <c r="R9" i="3"/>
  <c r="R10" i="3"/>
  <c r="R11" i="3"/>
  <c r="R12" i="3"/>
  <c r="R13" i="3"/>
  <c r="R14" i="3"/>
  <c r="R4" i="3"/>
  <c r="R5" i="3"/>
  <c r="R3" i="3" l="1"/>
  <c r="AA4" i="3" s="1"/>
  <c r="G53" i="5" l="1"/>
  <c r="G54" i="5" s="1"/>
  <c r="F53" i="5"/>
  <c r="F54" i="5" s="1"/>
  <c r="E53" i="5"/>
  <c r="E54" i="5" s="1"/>
  <c r="D53" i="5"/>
  <c r="D54" i="5" s="1"/>
  <c r="C53" i="5"/>
  <c r="C54" i="5" s="1"/>
  <c r="G17" i="5"/>
  <c r="G18" i="5" s="1"/>
  <c r="F17" i="5"/>
  <c r="F18" i="5" s="1"/>
  <c r="E17" i="5"/>
  <c r="E18" i="5" s="1"/>
  <c r="D17" i="5"/>
  <c r="D18" i="5" s="1"/>
  <c r="C17" i="5"/>
  <c r="C18" i="5" s="1"/>
  <c r="C36" i="5"/>
  <c r="G35" i="5"/>
  <c r="G36" i="5" s="1"/>
  <c r="F35" i="5"/>
  <c r="F36" i="5" s="1"/>
  <c r="E35" i="5"/>
  <c r="E36" i="5" s="1"/>
  <c r="D35" i="5"/>
  <c r="D36" i="5" s="1"/>
  <c r="C35" i="5"/>
  <c r="D15" i="4" l="1"/>
  <c r="E15" i="4"/>
  <c r="F15" i="4"/>
  <c r="G15" i="4"/>
  <c r="C15" i="4"/>
  <c r="C18" i="3" l="1"/>
  <c r="C17" i="3"/>
  <c r="D17" i="3"/>
  <c r="E17" i="3"/>
  <c r="D18" i="3"/>
  <c r="E18" i="3"/>
  <c r="F18" i="3"/>
  <c r="G18" i="3"/>
  <c r="F17" i="3"/>
  <c r="G17" i="3"/>
  <c r="O3" i="1"/>
  <c r="O4" i="1"/>
  <c r="O5" i="1"/>
  <c r="O15" i="1" s="1"/>
  <c r="O6" i="1"/>
  <c r="O7" i="1"/>
  <c r="O8" i="1"/>
  <c r="O9" i="1"/>
  <c r="O10" i="1"/>
  <c r="O11" i="1"/>
  <c r="O12" i="1"/>
  <c r="O13" i="1"/>
  <c r="O14" i="1"/>
  <c r="B15" i="1"/>
  <c r="H17" i="1" s="1"/>
  <c r="C15" i="1"/>
  <c r="D15" i="1"/>
  <c r="E15" i="1"/>
  <c r="F15" i="1"/>
  <c r="G15" i="1"/>
  <c r="H15" i="1"/>
  <c r="I15" i="1"/>
  <c r="J15" i="1"/>
  <c r="K15" i="1"/>
  <c r="L15" i="1"/>
  <c r="M15" i="1"/>
  <c r="N15" i="1"/>
  <c r="P15" i="1"/>
  <c r="C17" i="1"/>
  <c r="D17" i="1"/>
  <c r="E17" i="1"/>
  <c r="F17" i="1"/>
  <c r="G17" i="1"/>
  <c r="L17" i="1"/>
  <c r="M17" i="1"/>
  <c r="N17" i="1"/>
  <c r="O17" i="1"/>
  <c r="P17" i="1"/>
  <c r="C18" i="1"/>
  <c r="C19" i="1"/>
  <c r="F41" i="1"/>
  <c r="C41" i="1"/>
  <c r="B41" i="1"/>
  <c r="D39" i="1"/>
  <c r="D41" i="1" s="1"/>
  <c r="F38" i="2"/>
  <c r="B38" i="2"/>
  <c r="C38" i="2"/>
  <c r="D38" i="2"/>
  <c r="E38" i="2"/>
  <c r="D36" i="2"/>
  <c r="C19" i="2"/>
  <c r="O16" i="2"/>
  <c r="P16" i="2"/>
  <c r="C16" i="2"/>
  <c r="D16" i="2"/>
  <c r="E16" i="2"/>
  <c r="F16" i="2"/>
  <c r="G16" i="2"/>
  <c r="H16" i="2"/>
  <c r="I16" i="2"/>
  <c r="J16" i="2"/>
  <c r="K16" i="2"/>
  <c r="L16" i="2"/>
  <c r="M16" i="2"/>
  <c r="N16" i="2"/>
  <c r="C18" i="2"/>
  <c r="O14" i="2"/>
  <c r="O13" i="2"/>
  <c r="O12" i="2"/>
  <c r="O11" i="2"/>
  <c r="O10" i="2"/>
  <c r="O9" i="2"/>
  <c r="O8" i="2"/>
  <c r="O7" i="2"/>
  <c r="O6" i="2"/>
  <c r="O5" i="2"/>
  <c r="O4" i="2"/>
  <c r="O3" i="2"/>
  <c r="O15" i="2" s="1"/>
  <c r="M12" i="3" l="1"/>
  <c r="M13" i="3"/>
  <c r="M7" i="3"/>
  <c r="M8" i="3"/>
  <c r="M9" i="3"/>
  <c r="M10" i="3"/>
  <c r="M11" i="3"/>
  <c r="M14" i="3"/>
  <c r="M3" i="3"/>
  <c r="V4" i="3" s="1"/>
  <c r="M4" i="3"/>
  <c r="M5" i="3"/>
  <c r="M6" i="3"/>
  <c r="Q5" i="3"/>
  <c r="Q10" i="3"/>
  <c r="Q3" i="3"/>
  <c r="Z4" i="3" s="1"/>
  <c r="Q8" i="3"/>
  <c r="Q13" i="3"/>
  <c r="Q11" i="3"/>
  <c r="Q12" i="3"/>
  <c r="Q6" i="3"/>
  <c r="Q4" i="3"/>
  <c r="Q9" i="3"/>
  <c r="Q14" i="3"/>
  <c r="Q7" i="3"/>
  <c r="AA5" i="3"/>
  <c r="AA6" i="3" s="1"/>
  <c r="AA7" i="3" s="1"/>
  <c r="AA8" i="3" s="1"/>
  <c r="AA9" i="3" s="1"/>
  <c r="AA10" i="3" s="1"/>
  <c r="AA11" i="3" s="1"/>
  <c r="AA12" i="3" s="1"/>
  <c r="AA13" i="3" s="1"/>
  <c r="AA14" i="3" s="1"/>
  <c r="AA15" i="3" s="1"/>
  <c r="O8" i="3"/>
  <c r="O6" i="3"/>
  <c r="O14" i="3"/>
  <c r="O5" i="3"/>
  <c r="O13" i="3"/>
  <c r="O11" i="3"/>
  <c r="O4" i="3"/>
  <c r="O9" i="3"/>
  <c r="O7" i="3"/>
  <c r="O12" i="3"/>
  <c r="O3" i="3"/>
  <c r="X4" i="3" s="1"/>
  <c r="X5" i="3" s="1"/>
  <c r="O10" i="3"/>
  <c r="P10" i="3"/>
  <c r="P3" i="3"/>
  <c r="Y4" i="3" s="1"/>
  <c r="P13" i="3"/>
  <c r="P6" i="3"/>
  <c r="P9" i="3"/>
  <c r="P5" i="3"/>
  <c r="P8" i="3"/>
  <c r="P11" i="3"/>
  <c r="P4" i="3"/>
  <c r="P14" i="3"/>
  <c r="P7" i="3"/>
  <c r="P12" i="3"/>
  <c r="N8" i="3"/>
  <c r="N13" i="3"/>
  <c r="N11" i="3"/>
  <c r="N9" i="3"/>
  <c r="N12" i="3"/>
  <c r="N10" i="3"/>
  <c r="N6" i="3"/>
  <c r="N3" i="3"/>
  <c r="W4" i="3" s="1"/>
  <c r="N4" i="3"/>
  <c r="N14" i="3"/>
  <c r="N7" i="3"/>
  <c r="N5" i="3"/>
  <c r="K17" i="1"/>
  <c r="J17" i="1"/>
  <c r="I17" i="1"/>
  <c r="Y5" i="3" l="1"/>
  <c r="Y6" i="3" s="1"/>
  <c r="Z5" i="3"/>
  <c r="Z6" i="3" s="1"/>
  <c r="Z7" i="3" s="1"/>
  <c r="Z8" i="3" s="1"/>
  <c r="Z9" i="3" s="1"/>
  <c r="Z10" i="3" s="1"/>
  <c r="Z11" i="3" s="1"/>
  <c r="Z12" i="3" s="1"/>
  <c r="Z13" i="3" s="1"/>
  <c r="Z14" i="3" s="1"/>
  <c r="Z15" i="3" s="1"/>
  <c r="W5" i="3"/>
  <c r="V5" i="3"/>
  <c r="V6" i="3" s="1"/>
  <c r="V7" i="3" s="1"/>
  <c r="V8" i="3" s="1"/>
  <c r="V9" i="3" s="1"/>
  <c r="V10" i="3" s="1"/>
  <c r="V11" i="3" s="1"/>
  <c r="V12" i="3" s="1"/>
  <c r="V13" i="3" s="1"/>
  <c r="V14" i="3" s="1"/>
  <c r="V15" i="3" s="1"/>
  <c r="W6" i="3"/>
  <c r="W7" i="3" s="1"/>
  <c r="W8" i="3" s="1"/>
  <c r="W9" i="3" s="1"/>
  <c r="W10" i="3" s="1"/>
  <c r="W11" i="3" s="1"/>
  <c r="W12" i="3" s="1"/>
  <c r="W13" i="3" s="1"/>
  <c r="W14" i="3" s="1"/>
  <c r="W15" i="3" s="1"/>
  <c r="Y7" i="3"/>
  <c r="Y8" i="3" s="1"/>
  <c r="Y9" i="3" s="1"/>
  <c r="Y10" i="3" s="1"/>
  <c r="Y11" i="3" s="1"/>
  <c r="Y12" i="3" s="1"/>
  <c r="Y13" i="3" s="1"/>
  <c r="Y14" i="3" s="1"/>
  <c r="Y15" i="3" s="1"/>
  <c r="X6" i="3"/>
  <c r="X7" i="3" s="1"/>
  <c r="X8" i="3" s="1"/>
  <c r="X9" i="3" s="1"/>
  <c r="X10" i="3" s="1"/>
  <c r="X11" i="3" s="1"/>
  <c r="X12" i="3" s="1"/>
  <c r="X13" i="3" s="1"/>
  <c r="X14" i="3" s="1"/>
  <c r="X15" i="3" s="1"/>
</calcChain>
</file>

<file path=xl/sharedStrings.xml><?xml version="1.0" encoding="utf-8"?>
<sst xmlns="http://schemas.openxmlformats.org/spreadsheetml/2006/main" count="214" uniqueCount="58">
  <si>
    <t>KVS Account Code</t>
  </si>
  <si>
    <t>101 (Property Tax)</t>
  </si>
  <si>
    <t>AC291 MT (Admin Charges)</t>
  </si>
  <si>
    <t>CC291 MT (City Charges - Demolition/ Grass Cutting Fee)</t>
  </si>
  <si>
    <t>FE292 MT (Former Exemptions)</t>
  </si>
  <si>
    <t>LF291 MT (Late Fee)</t>
  </si>
  <si>
    <t>NSF</t>
  </si>
  <si>
    <t>UR291 MT (Refuse)</t>
  </si>
  <si>
    <t>US291 MT (Sewer)</t>
  </si>
  <si>
    <t>UW291 MT (Water)</t>
  </si>
  <si>
    <t>L-FEE</t>
  </si>
  <si>
    <t>OVRPY</t>
  </si>
  <si>
    <t>Writeoffs/ Refunds/ Closing Adjustments</t>
  </si>
  <si>
    <t>TOTAL</t>
  </si>
  <si>
    <t>KVS Amount Billed</t>
  </si>
  <si>
    <t>N/A</t>
  </si>
  <si>
    <t xml:space="preserve">January 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</si>
  <si>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</si>
  <si>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</si>
  <si>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</si>
  <si>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</si>
  <si>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</si>
  <si>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</si>
  <si>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</si>
  <si>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</si>
  <si>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November</t>
  </si>
  <si>
    <t>December</t>
  </si>
  <si>
    <t>Certificate</t>
  </si>
  <si>
    <t>Total</t>
  </si>
  <si>
    <t>City of Lockport Property Tax Collection FY 2022</t>
  </si>
  <si>
    <t>August</t>
  </si>
  <si>
    <t>Total Collected</t>
  </si>
  <si>
    <t>City of Lockport Property Tax Collection FY 2021</t>
  </si>
  <si>
    <t>* KVS REPORT CONFIRMS 13,318,225.65 COLLECTED IN JANUARY</t>
  </si>
  <si>
    <t>January</t>
  </si>
  <si>
    <t>Billed</t>
  </si>
  <si>
    <t>Property Tax Billing Collection</t>
  </si>
  <si>
    <t>Certificate as Percent of Billed</t>
  </si>
  <si>
    <t>Total Billed</t>
  </si>
  <si>
    <t>Total Annual Billed</t>
  </si>
  <si>
    <t xml:space="preserve">Included in January Tax Levy </t>
  </si>
  <si>
    <t>Cash Collected</t>
  </si>
  <si>
    <t>Water Rents Receivable</t>
  </si>
  <si>
    <t>Refuse Charges Receivable</t>
  </si>
  <si>
    <t>Sewer Rents Receivable</t>
  </si>
  <si>
    <t>2022 sewer</t>
  </si>
  <si>
    <t>Cash Collected as a % of Billed</t>
  </si>
  <si>
    <t>2021 sewer</t>
  </si>
  <si>
    <t>2020 s=ewer</t>
  </si>
  <si>
    <t>2019 sewer</t>
  </si>
  <si>
    <t>Tax Certificate Balances</t>
  </si>
  <si>
    <t>Annual Change</t>
  </si>
  <si>
    <t>Uncollected Certificate</t>
  </si>
  <si>
    <t>September decrease due to in-rem cycle.</t>
  </si>
  <si>
    <t>December lesser spike due to lower 2022 tax certificate.</t>
  </si>
  <si>
    <t>2022:</t>
  </si>
  <si>
    <t>Percent Collected</t>
  </si>
  <si>
    <t>Balance Sheet - Account 1320 - Tax Sale 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</si>
</sst>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-10409]#,###.00;\(#,###.00\)"/>
    <numFmt numFmtId="167" formatCode="0.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i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44" fontId="0" fillId="0" borderId="0" xfId="1" applyFont="1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2" applyNumberFormat="1" applyFont="1" applyBorder="1"/>
    <xf numFmtId="0" fontId="4" fillId="0" borderId="1" xfId="0" applyFont="1" applyFill="1" applyBorder="1" applyAlignment="1">
      <alignment horizontal="center" vertical="center"/>
    </xf>
    <xf numFmtId="164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" xfId="1" applyNumberFormat="1" applyFont="1" applyBorder="1"/>
    <xf numFmtId="0" fontId="4" fillId="0" borderId="1" xfId="0" applyFont="1" applyBorder="1"/>
    <xf numFmtId="9" fontId="4" fillId="0" borderId="1" xfId="2" applyFont="1" applyBorder="1"/>
    <xf numFmtId="164" fontId="0" fillId="0" borderId="1" xfId="1" applyNumberFormat="1" applyFont="1" applyFill="1" applyBorder="1"/>
    <xf numFmtId="166" fontId="5" fillId="0" borderId="0" xfId="0" applyNumberFormat="1" applyFont="1" applyFill="1" applyBorder="1" applyAlignment="1">
      <alignment horizontal="right" vertical="top" wrapText="1" readingOrder="1"/>
    </xf>
    <xf numFmtId="164" fontId="4" fillId="0" borderId="1" xfId="0" applyNumberFormat="1" applyFont="1" applyBorder="1"/>
    <xf numFmtId="0" fontId="4" fillId="0" borderId="0" xfId="0" applyFont="1"/>
    <xf numFmtId="43" fontId="4" fillId="0" borderId="0" xfId="3" quotePrefix="1" applyFont="1"/>
    <xf numFmtId="9" fontId="0" fillId="0" borderId="1" xfId="2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8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0" fontId="0" fillId="0" borderId="0" xfId="2" applyNumberFormat="1" applyFont="1"/>
    <xf numFmtId="167" fontId="0" fillId="0" borderId="0" xfId="2" applyNumberFormat="1" applyFont="1"/>
    <xf numFmtId="9" fontId="0" fillId="0" borderId="0" xfId="2" applyFont="1"/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'Property Taxes'!$C$2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'Property Taxes'!$B$3:$B$16</c:f>
              <c:strCache>
                <c:ptCount val="14"/>
                <c:pt idx="0">
                  <c:v>Total Billed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  <c:pt idx="13">
                  <c:v>Uncollected Certificate</c:v>
                </c:pt>
              </c:strCache>
            </c:strRef>
          </c:cat>
          <c:val>
            <c:numRef>
              <c:f>'Property Taxes'!$C$3:$C$16</c:f>
            </c:numRef>
          </c:val>
          <c:smooth val="0"/>
          <c:extLst>
            <c:ext xmlns:c16="http://schemas.microsoft.com/office/drawing/2014/chart" uri="{C3380CC4-5D6E-409C-BE32-E72D297353CC}">
              <c16:uniqueId val="{00000000-58DB-47C4-BC31-70CD321DF1A2}"/>
            </c:ext>
          </c:extLst>
        </c:ser>
        <c:ser>
          <c:idx val="1"/>
          <c:order val="1"/>
          <c:tx>
            <c:strRef>
              <c:f>'Property Taxes'!$D$2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'Property Taxes'!$B$3:$B$16</c:f>
              <c:strCache>
                <c:ptCount val="14"/>
                <c:pt idx="0">
                  <c:v>Total Billed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  <c:pt idx="13">
                  <c:v>Uncollected Certificate</c:v>
                </c:pt>
              </c:strCache>
            </c:strRef>
          </c:cat>
          <c:val>
            <c:numRef>
              <c:f>'Property Taxes'!$D$3:$D$16</c:f>
              <c:numCache>
                <c:formatCode>_("$"* #,##0_);_("$"* \(#,##0\);_("$"* "-"??_);_(@_)</c:formatCode>
                <c:ptCount val="14"/>
                <c:pt idx="0">
                  <c:v>13710301.41</c:v>
                </c:pt>
                <c:pt idx="1">
                  <c:v>5705665.4300000006</c:v>
                </c:pt>
                <c:pt idx="2">
                  <c:v>6473093.7999999998</c:v>
                </c:pt>
                <c:pt idx="3">
                  <c:v>270443.49</c:v>
                </c:pt>
                <c:pt idx="4">
                  <c:v>321758.15999999997</c:v>
                </c:pt>
                <c:pt idx="5">
                  <c:v>77053.27</c:v>
                </c:pt>
                <c:pt idx="6">
                  <c:v>55286.780000000006</c:v>
                </c:pt>
                <c:pt idx="7">
                  <c:v>58999.38</c:v>
                </c:pt>
                <c:pt idx="8">
                  <c:v>37602.49</c:v>
                </c:pt>
                <c:pt idx="9">
                  <c:v>30382.400000000001</c:v>
                </c:pt>
                <c:pt idx="10">
                  <c:v>35019.339999999997</c:v>
                </c:pt>
                <c:pt idx="11">
                  <c:v>99498.76999999999</c:v>
                </c:pt>
                <c:pt idx="12">
                  <c:v>0</c:v>
                </c:pt>
                <c:pt idx="13">
                  <c:v>545498.1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B-47C4-BC31-70CD321DF1A2}"/>
            </c:ext>
          </c:extLst>
        </c:ser>
        <c:ser>
          <c:idx val="2"/>
          <c:order val="2"/>
          <c:tx>
            <c:strRef>
              <c:f>'Property Taxes'!$E$2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'Property Taxes'!$B$3:$B$16</c:f>
              <c:strCache>
                <c:ptCount val="14"/>
                <c:pt idx="0">
                  <c:v>Total Billed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  <c:pt idx="13">
                  <c:v>Uncollected Certificate</c:v>
                </c:pt>
              </c:strCache>
            </c:strRef>
          </c:cat>
          <c:val>
            <c:numRef>
              <c:f>'Property Taxes'!$E$3:$E$16</c:f>
              <c:numCache>
                <c:formatCode>_("$"* #,##0_);_("$"* \(#,##0\);_("$"* "-"??_);_(@_)</c:formatCode>
                <c:ptCount val="14"/>
                <c:pt idx="0">
                  <c:v>14049756.689999999</c:v>
                </c:pt>
                <c:pt idx="1">
                  <c:v>12056115.24</c:v>
                </c:pt>
                <c:pt idx="2">
                  <c:v>384379.6</c:v>
                </c:pt>
                <c:pt idx="3">
                  <c:v>146409.09</c:v>
                </c:pt>
                <c:pt idx="4">
                  <c:v>149966.47999999998</c:v>
                </c:pt>
                <c:pt idx="5">
                  <c:v>165880.32999999999</c:v>
                </c:pt>
                <c:pt idx="6">
                  <c:v>175650.15</c:v>
                </c:pt>
                <c:pt idx="7">
                  <c:v>131316.07</c:v>
                </c:pt>
                <c:pt idx="8">
                  <c:v>42857.840000000004</c:v>
                </c:pt>
                <c:pt idx="9">
                  <c:v>56789.54</c:v>
                </c:pt>
                <c:pt idx="10">
                  <c:v>89827.81</c:v>
                </c:pt>
                <c:pt idx="11">
                  <c:v>115681.06</c:v>
                </c:pt>
                <c:pt idx="12">
                  <c:v>148</c:v>
                </c:pt>
                <c:pt idx="13">
                  <c:v>534735.01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B-47C4-BC31-70CD321DF1A2}"/>
            </c:ext>
          </c:extLst>
        </c:ser>
        <c:ser>
          <c:idx val="3"/>
          <c:order val="3"/>
          <c:tx>
            <c:strRef>
              <c:f>'Property Taxes'!$F$2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'Property Taxes'!$B$3:$B$16</c:f>
              <c:strCache>
                <c:ptCount val="14"/>
                <c:pt idx="0">
                  <c:v>Total Billed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  <c:pt idx="13">
                  <c:v>Uncollected Certificate</c:v>
                </c:pt>
              </c:strCache>
            </c:strRef>
          </c:cat>
          <c:val>
            <c:numRef>
              <c:f>'Property Taxes'!$F$3:$F$16</c:f>
              <c:numCache>
                <c:formatCode>_("$"* #,##0_);_("$"* \(#,##0\);_("$"* "-"??_);_(@_)</c:formatCode>
                <c:ptCount val="14"/>
                <c:pt idx="0">
                  <c:v>13933470.41</c:v>
                </c:pt>
                <c:pt idx="1">
                  <c:v>12161630.380000001</c:v>
                </c:pt>
                <c:pt idx="2">
                  <c:v>292897.17</c:v>
                </c:pt>
                <c:pt idx="3">
                  <c:v>283332.72000000003</c:v>
                </c:pt>
                <c:pt idx="4">
                  <c:v>160837.15</c:v>
                </c:pt>
                <c:pt idx="5">
                  <c:v>155683.26</c:v>
                </c:pt>
                <c:pt idx="6">
                  <c:v>93463.549999999988</c:v>
                </c:pt>
                <c:pt idx="7">
                  <c:v>33251.980000000003</c:v>
                </c:pt>
                <c:pt idx="8">
                  <c:v>40177.920000000006</c:v>
                </c:pt>
                <c:pt idx="9">
                  <c:v>16688.29</c:v>
                </c:pt>
                <c:pt idx="10">
                  <c:v>91448.98</c:v>
                </c:pt>
                <c:pt idx="11">
                  <c:v>73001.12000000001</c:v>
                </c:pt>
                <c:pt idx="12">
                  <c:v>92.75</c:v>
                </c:pt>
                <c:pt idx="13">
                  <c:v>530965.14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DB-47C4-BC31-70CD321DF1A2}"/>
            </c:ext>
          </c:extLst>
        </c:ser>
        <c:ser>
          <c:idx val="4"/>
          <c:order val="4"/>
          <c:tx>
            <c:strRef>
              <c:f>'Property Taxes'!$G$2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'Property Taxes'!$B$3:$B$16</c:f>
              <c:strCache>
                <c:ptCount val="14"/>
                <c:pt idx="0">
                  <c:v>Total Billed</c:v>
                </c:pt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  <c:pt idx="13">
                  <c:v>Uncollected Certificate</c:v>
                </c:pt>
              </c:strCache>
            </c:strRef>
          </c:cat>
          <c:val>
            <c:numRef>
              <c:f>'Property Taxes'!$G$3:$G$16</c:f>
              <c:numCache>
                <c:formatCode>_("$"* #,##0_);_("$"* \(#,##0\);_("$"* "-"??_);_(@_)</c:formatCode>
                <c:ptCount val="14"/>
                <c:pt idx="0">
                  <c:v>13912727.700000001</c:v>
                </c:pt>
                <c:pt idx="1">
                  <c:v>12318225.649999999</c:v>
                </c:pt>
                <c:pt idx="2">
                  <c:v>374470.56</c:v>
                </c:pt>
                <c:pt idx="3">
                  <c:v>232570.48</c:v>
                </c:pt>
                <c:pt idx="4">
                  <c:v>150100.89000000001</c:v>
                </c:pt>
                <c:pt idx="5">
                  <c:v>151339.44</c:v>
                </c:pt>
                <c:pt idx="6">
                  <c:v>45710.44</c:v>
                </c:pt>
                <c:pt idx="7">
                  <c:v>49072.94</c:v>
                </c:pt>
                <c:pt idx="8">
                  <c:v>36725.97</c:v>
                </c:pt>
                <c:pt idx="9">
                  <c:v>40473.81</c:v>
                </c:pt>
                <c:pt idx="10">
                  <c:v>89579.56</c:v>
                </c:pt>
                <c:pt idx="11">
                  <c:v>25471.540000000005</c:v>
                </c:pt>
                <c:pt idx="12">
                  <c:v>1917.24</c:v>
                </c:pt>
                <c:pt idx="13">
                  <c:v>397069.17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DB-47C4-BC31-70CD321DF1A2}"/>
            </c:ext>
          </c:extLst>
        </c:ser>
        <c:ser>
          <c:idx val="5"/>
          <c:order val="5"/>
          <c:tx>
            <c:strRef>
              <c:f>'Property Taxes'!$H$2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'Property Taxes'!$H$3:$H$15</c:f>
              <c:numCache>
                <c:formatCode>_("$"* #,##0_);_("$"* \(#,##0\);_("$"* "-"??_);_(@_)</c:formatCode>
                <c:ptCount val="13"/>
                <c:pt idx="0">
                  <c:v>14192601</c:v>
                </c:pt>
                <c:pt idx="1">
                  <c:v>12508946.099999996</c:v>
                </c:pt>
                <c:pt idx="2">
                  <c:v>299759.51</c:v>
                </c:pt>
                <c:pt idx="3">
                  <c:v>251267.14</c:v>
                </c:pt>
                <c:pt idx="4">
                  <c:v>235269.11</c:v>
                </c:pt>
                <c:pt idx="5">
                  <c:v>120047.89</c:v>
                </c:pt>
                <c:pt idx="6">
                  <c:v>53284.140000000007</c:v>
                </c:pt>
                <c:pt idx="7">
                  <c:v>38884.579999999994</c:v>
                </c:pt>
                <c:pt idx="8">
                  <c:v>28815.62</c:v>
                </c:pt>
                <c:pt idx="9">
                  <c:v>41609.18</c:v>
                </c:pt>
                <c:pt idx="10">
                  <c:v>28024.473000000002</c:v>
                </c:pt>
                <c:pt idx="11">
                  <c:v>77539.430000000109</c:v>
                </c:pt>
                <c:pt idx="12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DB-47C4-BC31-70CD321D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18223"/>
        <c:axId val="355314063"/>
      </c:lineChart>
      <c:catAx>
        <c:axId val="35531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314063"/>
        <c:crosses val="autoZero"/>
        <c:auto val="1"/>
        <c:lblAlgn val="ctr"/>
        <c:lblOffset val="100"/>
        <c:noMultiLvlLbl val="0"/>
      </c:catAx>
      <c:valAx>
        <c:axId val="355314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31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85972032593317E-2"/>
          <c:y val="3.1205673758865248E-2"/>
          <c:w val="0.88774459012100926"/>
          <c:h val="0.838089685597810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'Tax Certificates'!$C$2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Certificates'!$C$3:$C$14</c:f>
              <c:numCache>
                <c:formatCode>_("$"* #,##0_);_("$"* \(#,##0\);_("$"* "-"??_);_(@_)</c:formatCode>
                <c:ptCount val="12"/>
                <c:pt idx="0">
                  <c:v>1685659.61</c:v>
                </c:pt>
                <c:pt idx="1">
                  <c:v>1574618.53</c:v>
                </c:pt>
                <c:pt idx="2">
                  <c:v>1460341.26</c:v>
                </c:pt>
                <c:pt idx="3">
                  <c:v>1189086.54</c:v>
                </c:pt>
                <c:pt idx="4">
                  <c:v>1133605.8700000001</c:v>
                </c:pt>
                <c:pt idx="5">
                  <c:v>1075393.0900000001</c:v>
                </c:pt>
                <c:pt idx="6">
                  <c:v>1078777.58</c:v>
                </c:pt>
                <c:pt idx="7">
                  <c:v>1019058.85</c:v>
                </c:pt>
                <c:pt idx="8">
                  <c:v>984277.13</c:v>
                </c:pt>
                <c:pt idx="9">
                  <c:v>919556.11</c:v>
                </c:pt>
                <c:pt idx="10">
                  <c:v>878580.96</c:v>
                </c:pt>
                <c:pt idx="11">
                  <c:v>1647091.19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4-498A-8D4E-F3A37442B2D3}"/>
            </c:ext>
          </c:extLst>
        </c:ser>
        <c:ser>
          <c:idx val="1"/>
          <c:order val="1"/>
          <c:tx>
            <c:strRef>
              <c:f>'Tax Certificates'!$D$2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Certificates'!$D$3:$D$14</c:f>
              <c:numCache>
                <c:formatCode>_("$"* #,##0_);_("$"* \(#,##0\);_("$"* "-"??_);_(@_)</c:formatCode>
                <c:ptCount val="12"/>
                <c:pt idx="0">
                  <c:v>1602393.4</c:v>
                </c:pt>
                <c:pt idx="1">
                  <c:v>1551863.82</c:v>
                </c:pt>
                <c:pt idx="2">
                  <c:v>1476711.69</c:v>
                </c:pt>
                <c:pt idx="3">
                  <c:v>1333204.31</c:v>
                </c:pt>
                <c:pt idx="4">
                  <c:v>1298041.05</c:v>
                </c:pt>
                <c:pt idx="5">
                  <c:v>1223491.1499999999</c:v>
                </c:pt>
                <c:pt idx="6">
                  <c:v>1207472.3500000001</c:v>
                </c:pt>
                <c:pt idx="7">
                  <c:v>1187704.29</c:v>
                </c:pt>
                <c:pt idx="8">
                  <c:v>1183755.1299999999</c:v>
                </c:pt>
                <c:pt idx="9">
                  <c:v>1147966.77</c:v>
                </c:pt>
                <c:pt idx="10">
                  <c:v>2113126.19</c:v>
                </c:pt>
                <c:pt idx="11">
                  <c:v>1935385.67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4-498A-8D4E-F3A37442B2D3}"/>
            </c:ext>
          </c:extLst>
        </c:ser>
        <c:ser>
          <c:idx val="2"/>
          <c:order val="2"/>
          <c:tx>
            <c:strRef>
              <c:f>'Tax Certificates'!$E$2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Certificates'!$E$3:$E$14</c:f>
              <c:numCache>
                <c:formatCode>_("$"* #,##0_);_("$"* \(#,##0\);_("$"* "-"??_);_(@_)</c:formatCode>
                <c:ptCount val="12"/>
                <c:pt idx="0">
                  <c:v>1870497.15</c:v>
                </c:pt>
                <c:pt idx="1">
                  <c:v>1815841.81</c:v>
                </c:pt>
                <c:pt idx="2">
                  <c:v>1759940.22</c:v>
                </c:pt>
                <c:pt idx="3">
                  <c:v>1539837.11</c:v>
                </c:pt>
                <c:pt idx="4">
                  <c:v>1483080.79</c:v>
                </c:pt>
                <c:pt idx="5">
                  <c:v>1393467.33</c:v>
                </c:pt>
                <c:pt idx="6">
                  <c:v>1361908.29</c:v>
                </c:pt>
                <c:pt idx="7">
                  <c:v>1325057.3700000001</c:v>
                </c:pt>
                <c:pt idx="8">
                  <c:v>1288920.6599999999</c:v>
                </c:pt>
                <c:pt idx="9">
                  <c:v>1244144.07</c:v>
                </c:pt>
                <c:pt idx="10">
                  <c:v>1203488.5</c:v>
                </c:pt>
                <c:pt idx="11">
                  <c:v>2227598.59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4-498A-8D4E-F3A37442B2D3}"/>
            </c:ext>
          </c:extLst>
        </c:ser>
        <c:ser>
          <c:idx val="3"/>
          <c:order val="3"/>
          <c:tx>
            <c:strRef>
              <c:f>'Tax Certificates'!$F$2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Certificates'!$F$3:$F$14</c:f>
              <c:numCache>
                <c:formatCode>_("$"* #,##0_);_("$"* \(#,##0\);_("$"* "-"??_);_(@_)</c:formatCode>
                <c:ptCount val="12"/>
                <c:pt idx="0">
                  <c:v>2148680.9900000002</c:v>
                </c:pt>
                <c:pt idx="1">
                  <c:v>2094486.39</c:v>
                </c:pt>
                <c:pt idx="2">
                  <c:v>1988841.3</c:v>
                </c:pt>
                <c:pt idx="3">
                  <c:v>1898006.7</c:v>
                </c:pt>
                <c:pt idx="4">
                  <c:v>1692911.06</c:v>
                </c:pt>
                <c:pt idx="5">
                  <c:v>1582391.27</c:v>
                </c:pt>
                <c:pt idx="6">
                  <c:v>1553423.77</c:v>
                </c:pt>
                <c:pt idx="7">
                  <c:v>1522458.24</c:v>
                </c:pt>
                <c:pt idx="8">
                  <c:v>1500881.31</c:v>
                </c:pt>
                <c:pt idx="9">
                  <c:v>1488460.84</c:v>
                </c:pt>
                <c:pt idx="10">
                  <c:v>2464289.65</c:v>
                </c:pt>
                <c:pt idx="11">
                  <c:v>2341868.62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B4-498A-8D4E-F3A37442B2D3}"/>
            </c:ext>
          </c:extLst>
        </c:ser>
        <c:ser>
          <c:idx val="4"/>
          <c:order val="4"/>
          <c:tx>
            <c:strRef>
              <c:f>'Tax Certificates'!$G$2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Certificates'!$G$3:$G$14</c:f>
              <c:numCache>
                <c:formatCode>_("$"* #,##0_);_("$"* \(#,##0\);_("$"* "-"??_);_(@_)</c:formatCode>
                <c:ptCount val="12"/>
                <c:pt idx="0">
                  <c:v>2230721.92</c:v>
                </c:pt>
                <c:pt idx="1">
                  <c:v>2083450.86</c:v>
                </c:pt>
                <c:pt idx="2">
                  <c:v>1985894.1</c:v>
                </c:pt>
                <c:pt idx="3">
                  <c:v>1772257.46</c:v>
                </c:pt>
                <c:pt idx="4">
                  <c:v>1620837.68</c:v>
                </c:pt>
                <c:pt idx="5">
                  <c:v>1549567.13</c:v>
                </c:pt>
                <c:pt idx="6">
                  <c:v>1473376.69</c:v>
                </c:pt>
                <c:pt idx="7">
                  <c:v>1420029.59</c:v>
                </c:pt>
                <c:pt idx="8">
                  <c:v>1061692.1399999999</c:v>
                </c:pt>
                <c:pt idx="9">
                  <c:v>1027759.64</c:v>
                </c:pt>
                <c:pt idx="10">
                  <c:v>1783144.66</c:v>
                </c:pt>
                <c:pt idx="11">
                  <c:v>1709134.63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B4-498A-8D4E-F3A37442B2D3}"/>
            </c:ext>
          </c:extLst>
        </c:ser>
        <c:ser>
          <c:idx val="5"/>
          <c:order val="5"/>
          <c:tx>
            <c:strRef>
              <c:f>'Tax Certificates'!$H$2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Certificates'!$H$3:$H$14</c:f>
              <c:numCache>
                <c:formatCode>_("$"* #,##0_);_("$"* \(#,##0\);_("$"* "-"??_);_(@_)</c:formatCode>
                <c:ptCount val="12"/>
                <c:pt idx="0">
                  <c:v>1635917.23</c:v>
                </c:pt>
                <c:pt idx="1">
                  <c:v>1594546.24</c:v>
                </c:pt>
                <c:pt idx="2">
                  <c:v>1510755.94</c:v>
                </c:pt>
                <c:pt idx="3">
                  <c:v>1276480.8899999999</c:v>
                </c:pt>
                <c:pt idx="4">
                  <c:v>1221392.5900000001</c:v>
                </c:pt>
                <c:pt idx="5">
                  <c:v>1178454.1499999999</c:v>
                </c:pt>
                <c:pt idx="6">
                  <c:v>1179847.18</c:v>
                </c:pt>
                <c:pt idx="7">
                  <c:v>1166510.47</c:v>
                </c:pt>
                <c:pt idx="8">
                  <c:v>1131110.6399999999</c:v>
                </c:pt>
                <c:pt idx="9">
                  <c:v>1124694.58</c:v>
                </c:pt>
                <c:pt idx="10">
                  <c:v>2185159</c:v>
                </c:pt>
                <c:pt idx="11">
                  <c:v>2086062.49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3-485D-9170-B1BC50AF56FA}"/>
            </c:ext>
          </c:extLst>
        </c:ser>
        <c:ser>
          <c:idx val="6"/>
          <c:order val="6"/>
          <c:tx>
            <c:strRef>
              <c:f>'Tax Certificates'!$I$2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Certificates'!$I$3:$I$14</c:f>
              <c:numCache>
                <c:formatCode>_("$"* #,##0_);_("$"* \(#,##0\);_("$"* "-"??_);_(@_)</c:formatCode>
                <c:ptCount val="12"/>
                <c:pt idx="0">
                  <c:v>2024409</c:v>
                </c:pt>
                <c:pt idx="1">
                  <c:v>1949665</c:v>
                </c:pt>
                <c:pt idx="2">
                  <c:v>1915473</c:v>
                </c:pt>
                <c:pt idx="3">
                  <c:v>1701256</c:v>
                </c:pt>
                <c:pt idx="4">
                  <c:v>1685874</c:v>
                </c:pt>
                <c:pt idx="5">
                  <c:v>1600919</c:v>
                </c:pt>
                <c:pt idx="6">
                  <c:v>1600919</c:v>
                </c:pt>
                <c:pt idx="7">
                  <c:v>1532775</c:v>
                </c:pt>
                <c:pt idx="8">
                  <c:v>1517396</c:v>
                </c:pt>
                <c:pt idx="9">
                  <c:v>1341766</c:v>
                </c:pt>
                <c:pt idx="10">
                  <c:v>2317194</c:v>
                </c:pt>
                <c:pt idx="11">
                  <c:v>2050926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1-4262-B518-FE819D44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2423375"/>
        <c:axId val="1992427119"/>
      </c:barChart>
      <c:catAx>
        <c:axId val="199242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427119"/>
        <c:crosses val="autoZero"/>
        <c:auto val="1"/>
        <c:lblAlgn val="ctr"/>
        <c:lblOffset val="100"/>
        <c:noMultiLvlLbl val="0"/>
      </c:catAx>
      <c:valAx>
        <c:axId val="1992427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423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'Tax Certificates'!$C$2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Certificates'!$C$3:$C$14</c:f>
              <c:numCache>
                <c:formatCode>_("$"* #,##0_);_("$"* \(#,##0\);_("$"* "-"??_);_(@_)</c:formatCode>
                <c:ptCount val="12"/>
                <c:pt idx="0">
                  <c:v>1685659.61</c:v>
                </c:pt>
                <c:pt idx="1">
                  <c:v>1574618.53</c:v>
                </c:pt>
                <c:pt idx="2">
                  <c:v>1460341.26</c:v>
                </c:pt>
                <c:pt idx="3">
                  <c:v>1189086.54</c:v>
                </c:pt>
                <c:pt idx="4">
                  <c:v>1133605.8700000001</c:v>
                </c:pt>
                <c:pt idx="5">
                  <c:v>1075393.0900000001</c:v>
                </c:pt>
                <c:pt idx="6">
                  <c:v>1078777.58</c:v>
                </c:pt>
                <c:pt idx="7">
                  <c:v>1019058.85</c:v>
                </c:pt>
                <c:pt idx="8">
                  <c:v>984277.13</c:v>
                </c:pt>
                <c:pt idx="9">
                  <c:v>919556.11</c:v>
                </c:pt>
                <c:pt idx="10">
                  <c:v>878580.96</c:v>
                </c:pt>
                <c:pt idx="11">
                  <c:v>1647091.19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9-405E-8793-059A97B67C5B}"/>
            </c:ext>
          </c:extLst>
        </c:ser>
        <c:ser>
          <c:idx val="1"/>
          <c:order val="1"/>
          <c:tx>
            <c:strRef>
              <c:f>'Tax Certificates'!$D$2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Certificates'!$D$3:$D$14</c:f>
              <c:numCache>
                <c:formatCode>_("$"* #,##0_);_("$"* \(#,##0\);_("$"* "-"??_);_(@_)</c:formatCode>
                <c:ptCount val="12"/>
                <c:pt idx="0">
                  <c:v>1602393.4</c:v>
                </c:pt>
                <c:pt idx="1">
                  <c:v>1551863.82</c:v>
                </c:pt>
                <c:pt idx="2">
                  <c:v>1476711.69</c:v>
                </c:pt>
                <c:pt idx="3">
                  <c:v>1333204.31</c:v>
                </c:pt>
                <c:pt idx="4">
                  <c:v>1298041.05</c:v>
                </c:pt>
                <c:pt idx="5">
                  <c:v>1223491.1499999999</c:v>
                </c:pt>
                <c:pt idx="6">
                  <c:v>1207472.3500000001</c:v>
                </c:pt>
                <c:pt idx="7">
                  <c:v>1187704.29</c:v>
                </c:pt>
                <c:pt idx="8">
                  <c:v>1183755.1299999999</c:v>
                </c:pt>
                <c:pt idx="9">
                  <c:v>1147966.77</c:v>
                </c:pt>
                <c:pt idx="10">
                  <c:v>2113126.19</c:v>
                </c:pt>
                <c:pt idx="11">
                  <c:v>1935385.67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9-405E-8793-059A97B67C5B}"/>
            </c:ext>
          </c:extLst>
        </c:ser>
        <c:ser>
          <c:idx val="2"/>
          <c:order val="2"/>
          <c:tx>
            <c:strRef>
              <c:f>'Tax Certificates'!$E$2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Certificates'!$E$3:$E$14</c:f>
              <c:numCache>
                <c:formatCode>_("$"* #,##0_);_("$"* \(#,##0\);_("$"* "-"??_);_(@_)</c:formatCode>
                <c:ptCount val="12"/>
                <c:pt idx="0">
                  <c:v>1870497.15</c:v>
                </c:pt>
                <c:pt idx="1">
                  <c:v>1815841.81</c:v>
                </c:pt>
                <c:pt idx="2">
                  <c:v>1759940.22</c:v>
                </c:pt>
                <c:pt idx="3">
                  <c:v>1539837.11</c:v>
                </c:pt>
                <c:pt idx="4">
                  <c:v>1483080.79</c:v>
                </c:pt>
                <c:pt idx="5">
                  <c:v>1393467.33</c:v>
                </c:pt>
                <c:pt idx="6">
                  <c:v>1361908.29</c:v>
                </c:pt>
                <c:pt idx="7">
                  <c:v>1325057.3700000001</c:v>
                </c:pt>
                <c:pt idx="8">
                  <c:v>1288920.6599999999</c:v>
                </c:pt>
                <c:pt idx="9">
                  <c:v>1244144.07</c:v>
                </c:pt>
                <c:pt idx="10">
                  <c:v>1203488.5</c:v>
                </c:pt>
                <c:pt idx="11">
                  <c:v>2227598.59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9-405E-8793-059A97B67C5B}"/>
            </c:ext>
          </c:extLst>
        </c:ser>
        <c:ser>
          <c:idx val="3"/>
          <c:order val="3"/>
          <c:tx>
            <c:strRef>
              <c:f>'Tax Certificates'!$F$2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Certificates'!$F$3:$F$14</c:f>
              <c:numCache>
                <c:formatCode>_("$"* #,##0_);_("$"* \(#,##0\);_("$"* "-"??_);_(@_)</c:formatCode>
                <c:ptCount val="12"/>
                <c:pt idx="0">
                  <c:v>2148680.9900000002</c:v>
                </c:pt>
                <c:pt idx="1">
                  <c:v>2094486.39</c:v>
                </c:pt>
                <c:pt idx="2">
                  <c:v>1988841.3</c:v>
                </c:pt>
                <c:pt idx="3">
                  <c:v>1898006.7</c:v>
                </c:pt>
                <c:pt idx="4">
                  <c:v>1692911.06</c:v>
                </c:pt>
                <c:pt idx="5">
                  <c:v>1582391.27</c:v>
                </c:pt>
                <c:pt idx="6">
                  <c:v>1553423.77</c:v>
                </c:pt>
                <c:pt idx="7">
                  <c:v>1522458.24</c:v>
                </c:pt>
                <c:pt idx="8">
                  <c:v>1500881.31</c:v>
                </c:pt>
                <c:pt idx="9">
                  <c:v>1488460.84</c:v>
                </c:pt>
                <c:pt idx="10">
                  <c:v>2464289.65</c:v>
                </c:pt>
                <c:pt idx="11">
                  <c:v>2341868.62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9-405E-8793-059A97B67C5B}"/>
            </c:ext>
          </c:extLst>
        </c:ser>
        <c:ser>
          <c:idx val="4"/>
          <c:order val="4"/>
          <c:tx>
            <c:strRef>
              <c:f>'Tax Certificates'!$G$2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Certificates'!$G$3:$G$14</c:f>
              <c:numCache>
                <c:formatCode>_("$"* #,##0_);_("$"* \(#,##0\);_("$"* "-"??_);_(@_)</c:formatCode>
                <c:ptCount val="12"/>
                <c:pt idx="0">
                  <c:v>2230721.92</c:v>
                </c:pt>
                <c:pt idx="1">
                  <c:v>2083450.86</c:v>
                </c:pt>
                <c:pt idx="2">
                  <c:v>1985894.1</c:v>
                </c:pt>
                <c:pt idx="3">
                  <c:v>1772257.46</c:v>
                </c:pt>
                <c:pt idx="4">
                  <c:v>1620837.68</c:v>
                </c:pt>
                <c:pt idx="5">
                  <c:v>1549567.13</c:v>
                </c:pt>
                <c:pt idx="6">
                  <c:v>1473376.69</c:v>
                </c:pt>
                <c:pt idx="7">
                  <c:v>1420029.59</c:v>
                </c:pt>
                <c:pt idx="8">
                  <c:v>1061692.1399999999</c:v>
                </c:pt>
                <c:pt idx="9">
                  <c:v>1027759.64</c:v>
                </c:pt>
                <c:pt idx="10">
                  <c:v>1783144.66</c:v>
                </c:pt>
                <c:pt idx="11">
                  <c:v>1709134.63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99-405E-8793-059A97B67C5B}"/>
            </c:ext>
          </c:extLst>
        </c:ser>
        <c:ser>
          <c:idx val="5"/>
          <c:order val="5"/>
          <c:tx>
            <c:strRef>
              <c:f>'Tax Certificates'!$H$2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Certificates'!$H$3:$H$14</c:f>
              <c:numCache>
                <c:formatCode>_("$"* #,##0_);_("$"* \(#,##0\);_("$"* "-"??_);_(@_)</c:formatCode>
                <c:ptCount val="12"/>
                <c:pt idx="0">
                  <c:v>1635917.23</c:v>
                </c:pt>
                <c:pt idx="1">
                  <c:v>1594546.24</c:v>
                </c:pt>
                <c:pt idx="2">
                  <c:v>1510755.94</c:v>
                </c:pt>
                <c:pt idx="3">
                  <c:v>1276480.8899999999</c:v>
                </c:pt>
                <c:pt idx="4">
                  <c:v>1221392.5900000001</c:v>
                </c:pt>
                <c:pt idx="5">
                  <c:v>1178454.1499999999</c:v>
                </c:pt>
                <c:pt idx="6">
                  <c:v>1179847.18</c:v>
                </c:pt>
                <c:pt idx="7">
                  <c:v>1166510.47</c:v>
                </c:pt>
                <c:pt idx="8">
                  <c:v>1131110.6399999999</c:v>
                </c:pt>
                <c:pt idx="9">
                  <c:v>1124694.58</c:v>
                </c:pt>
                <c:pt idx="10">
                  <c:v>2185159</c:v>
                </c:pt>
                <c:pt idx="11">
                  <c:v>2086062.49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E-4750-89A1-0AFDFCB791E2}"/>
            </c:ext>
          </c:extLst>
        </c:ser>
        <c:ser>
          <c:idx val="6"/>
          <c:order val="6"/>
          <c:tx>
            <c:strRef>
              <c:f>'Tax Certificates'!$I$2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'Tax Certificates'!$B$3:$B$14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'Tax Certificates'!$I$3:$I$14</c:f>
              <c:numCache>
                <c:formatCode>_("$"* #,##0_);_("$"* \(#,##0\);_("$"* "-"??_);_(@_)</c:formatCode>
                <c:ptCount val="12"/>
                <c:pt idx="0">
                  <c:v>2024409</c:v>
                </c:pt>
                <c:pt idx="1">
                  <c:v>1949665</c:v>
                </c:pt>
                <c:pt idx="2">
                  <c:v>1915473</c:v>
                </c:pt>
                <c:pt idx="3">
                  <c:v>1701256</c:v>
                </c:pt>
                <c:pt idx="4">
                  <c:v>1685874</c:v>
                </c:pt>
                <c:pt idx="5">
                  <c:v>1600919</c:v>
                </c:pt>
                <c:pt idx="6">
                  <c:v>1600919</c:v>
                </c:pt>
                <c:pt idx="7">
                  <c:v>1532775</c:v>
                </c:pt>
                <c:pt idx="8">
                  <c:v>1517396</c:v>
                </c:pt>
                <c:pt idx="9">
                  <c:v>1341766</c:v>
                </c:pt>
                <c:pt idx="10">
                  <c:v>2317194</c:v>
                </c:pt>
                <c:pt idx="11">
                  <c:v>2050926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1-4A41-9152-1B259E51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8877152"/>
        <c:axId val="1098883392"/>
      </c:lineChart>
      <c:catAx>
        <c:axId val="109887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883392"/>
        <c:crosses val="autoZero"/>
        <c:auto val="1"/>
        <c:lblAlgn val="ctr"/>
        <c:lblOffset val="100"/>
        <c:noMultiLvlLbl val="0"/>
      </c:catAx>
      <c:valAx>
        <c:axId val="10988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87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942974</xdr:colOff>
      <xdr:row>22</xdr:row>
      <xdr:rowOff>133350</xdr:rowOff>
    </xdr:from>
    <xdr:to>
      <xdr:col>7</xdr:col>
      <xdr:colOff>742949</xdr:colOff>
      <xdr:row>41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47625</xdr:rowOff>
    </xdr:from>
    <xdr:to>
      <xdr:col>10</xdr:col>
      <xdr:colOff>47625</xdr:colOff>
      <xdr:row>39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228599</xdr:colOff>
      <xdr:row>2</xdr:row>
      <xdr:rowOff>123825</xdr:rowOff>
    </xdr:from>
    <xdr:to>
      <xdr:col>27</xdr:col>
      <xdr:colOff>466725</xdr:colOff>
      <xdr:row>26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2"/>
  <sheetViews>
    <sheetView showGridLines="0" workbookViewId="0">
      <selection activeCell="U15" sqref="U15"/>
    </sheetView>
  </sheetViews>
  <sheetFormatPr defaultRowHeight="15" x14ac:dyDescent="0.25"/>
  <cols>
    <col min="1" max="1" width="3.42578125" customWidth="1"/>
    <col min="2" max="2" width="28.140625" bestFit="1" customWidth="1"/>
    <col min="3" max="3" width="15" hidden="1" customWidth="1"/>
    <col min="4" max="10" width="13.5703125" customWidth="1"/>
    <col min="12" max="12" width="28.140625" hidden="1" customWidth="1"/>
    <col min="13" max="20" width="9.140625" hidden="1" customWidth="1"/>
    <col min="21" max="21" width="28.140625" bestFit="1" customWidth="1"/>
    <col min="22" max="26" width="7.7109375" bestFit="1" customWidth="1"/>
    <col min="27" max="27" width="8.42578125" bestFit="1" customWidth="1"/>
    <col min="28" max="28" width="8.42578125" customWidth="1"/>
  </cols>
  <sheetData>
    <row r="2" spans="2:29" ht="15.75" x14ac:dyDescent="0.25">
      <c r="B2" s="17" t="s">
        <v>36</v>
      </c>
      <c r="C2" s="17">
        <v>2018</v>
      </c>
      <c r="D2" s="17">
        <v>2019</v>
      </c>
      <c r="E2" s="17">
        <v>2020</v>
      </c>
      <c r="F2" s="17">
        <v>2021</v>
      </c>
      <c r="G2" s="17">
        <v>2022</v>
      </c>
      <c r="H2" s="17">
        <v>2023</v>
      </c>
      <c r="I2" s="17">
        <v>2024</v>
      </c>
      <c r="J2" s="17">
        <v>2025</v>
      </c>
      <c r="L2" s="17" t="s">
        <v>36</v>
      </c>
      <c r="M2" s="17">
        <v>2018</v>
      </c>
      <c r="N2" s="17">
        <v>2019</v>
      </c>
      <c r="O2" s="17">
        <v>2020</v>
      </c>
      <c r="P2" s="17">
        <v>2021</v>
      </c>
      <c r="Q2" s="17">
        <v>2022</v>
      </c>
      <c r="R2" s="17">
        <v>2023</v>
      </c>
      <c r="S2" s="17">
        <v>2024</v>
      </c>
      <c r="T2" s="17">
        <v>2025</v>
      </c>
      <c r="U2" s="45" t="s">
        <v>56</v>
      </c>
      <c r="V2" s="45"/>
      <c r="W2" s="45"/>
      <c r="X2" s="45"/>
      <c r="Y2" s="45"/>
      <c r="Z2" s="45"/>
      <c r="AA2" s="45"/>
      <c r="AB2" s="40"/>
    </row>
    <row r="3" spans="2:29" x14ac:dyDescent="0.25">
      <c r="B3" s="19" t="s">
        <v>38</v>
      </c>
      <c r="C3" s="20">
        <v>14140881.640000002</v>
      </c>
      <c r="D3" s="20">
        <v>13710301.41</v>
      </c>
      <c r="E3" s="20">
        <v>14049756.689999999</v>
      </c>
      <c r="F3" s="20">
        <v>13933470.41</v>
      </c>
      <c r="G3" s="21">
        <v>13912727.700000001</v>
      </c>
      <c r="H3" s="20">
        <v>14192601</v>
      </c>
      <c r="I3" s="20">
        <f>14403929+712</f>
        <v>14404641</v>
      </c>
      <c r="J3" s="20">
        <f>14761388</f>
        <v>14761388</v>
      </c>
      <c r="L3" s="13" t="s">
        <v>34</v>
      </c>
      <c r="M3" s="35">
        <f>C4/C$17</f>
        <v>0.50000176792371476</v>
      </c>
      <c r="N3" s="35">
        <f>D4/D$17</f>
        <v>0.41615900769609709</v>
      </c>
      <c r="O3" s="35">
        <f>E4/E$17</f>
        <v>0.85810138277260439</v>
      </c>
      <c r="P3" s="35">
        <f>F4/F$17</f>
        <v>0.87283569865491961</v>
      </c>
      <c r="Q3" s="35">
        <f>G4/G$17</f>
        <v>0.88539256459780524</v>
      </c>
      <c r="R3" s="35">
        <f>H4/H$3</f>
        <v>0.88137094109811132</v>
      </c>
      <c r="S3" s="35">
        <f>I4/I$3</f>
        <v>0.88242511562766468</v>
      </c>
      <c r="T3" s="35">
        <f>J4/J$3</f>
        <v>0.88860783281355382</v>
      </c>
      <c r="U3" s="17" t="s">
        <v>36</v>
      </c>
      <c r="V3" s="17">
        <v>2018</v>
      </c>
      <c r="W3" s="17">
        <v>2019</v>
      </c>
      <c r="X3" s="17">
        <v>2020</v>
      </c>
      <c r="Y3" s="17">
        <v>2021</v>
      </c>
      <c r="Z3" s="17">
        <v>2022</v>
      </c>
      <c r="AA3" s="17">
        <v>2023</v>
      </c>
      <c r="AB3" s="17">
        <v>2024</v>
      </c>
      <c r="AC3" s="17">
        <v>2025</v>
      </c>
    </row>
    <row r="4" spans="2:29" x14ac:dyDescent="0.25">
      <c r="B4" s="13" t="s">
        <v>34</v>
      </c>
      <c r="C4" s="14">
        <v>7070465.8200000003</v>
      </c>
      <c r="D4" s="14">
        <v>5705665.4300000006</v>
      </c>
      <c r="E4" s="14">
        <v>12056115.24</v>
      </c>
      <c r="F4" s="14">
        <v>12161630.380000001</v>
      </c>
      <c r="G4" s="18">
        <v>12318225.649999999</v>
      </c>
      <c r="H4" s="14">
        <v>12508946.099999996</v>
      </c>
      <c r="I4" s="14">
        <v>12711017</v>
      </c>
      <c r="J4" s="14">
        <f>13133127-3553-7477-1584-2157-1271</f>
        <v>13117085</v>
      </c>
      <c r="L4" s="13" t="s">
        <v>17</v>
      </c>
      <c r="M4" s="35">
        <f t="shared" ref="M4:M14" si="0">C5/$C$17</f>
        <v>0.40447168398759037</v>
      </c>
      <c r="N4" s="35">
        <f t="shared" ref="N4:N14" si="1">D5/D$17</f>
        <v>0.47213358819950257</v>
      </c>
      <c r="O4" s="35">
        <f t="shared" ref="O4:O14" si="2">E5/E$17</f>
        <v>2.7358453341192562E-2</v>
      </c>
      <c r="P4" s="35">
        <f t="shared" ref="P4:P14" si="3">F5/F$17</f>
        <v>2.1021121183835777E-2</v>
      </c>
      <c r="Q4" s="35">
        <f t="shared" ref="Q4:Q14" si="4">G5/G$17</f>
        <v>2.6915682412813759E-2</v>
      </c>
      <c r="R4" s="35">
        <f t="shared" ref="R4:R14" si="5">IF(H5="","",(H5/H$17))</f>
        <v>2.1120829790113878E-2</v>
      </c>
      <c r="S4" s="35">
        <f t="shared" ref="S4:S14" si="6">IF(I5="","",(I5/I$17))</f>
        <v>2.1777356339529739E-2</v>
      </c>
      <c r="T4" s="35">
        <f t="shared" ref="T4:T14" si="7">IF(J5="","",(J5/J$17))</f>
        <v>2.3630840135087566E-2</v>
      </c>
      <c r="U4" s="13" t="s">
        <v>34</v>
      </c>
      <c r="V4" s="36">
        <f t="shared" ref="V4:AC4" si="8">M3</f>
        <v>0.50000176792371476</v>
      </c>
      <c r="W4" s="36">
        <f t="shared" si="8"/>
        <v>0.41615900769609709</v>
      </c>
      <c r="X4" s="36">
        <f t="shared" si="8"/>
        <v>0.85810138277260439</v>
      </c>
      <c r="Y4" s="36">
        <f t="shared" si="8"/>
        <v>0.87283569865491961</v>
      </c>
      <c r="Z4" s="36">
        <f t="shared" si="8"/>
        <v>0.88539256459780524</v>
      </c>
      <c r="AA4" s="36">
        <f t="shared" si="8"/>
        <v>0.88137094109811132</v>
      </c>
      <c r="AB4" s="36">
        <f t="shared" si="8"/>
        <v>0.88242511562766468</v>
      </c>
      <c r="AC4" s="36">
        <f t="shared" si="8"/>
        <v>0.88860783281355382</v>
      </c>
    </row>
    <row r="5" spans="2:29" x14ac:dyDescent="0.25">
      <c r="B5" s="13" t="s">
        <v>17</v>
      </c>
      <c r="C5" s="14">
        <v>5719586.21</v>
      </c>
      <c r="D5" s="14">
        <v>6473093.7999999998</v>
      </c>
      <c r="E5" s="14">
        <v>384379.6</v>
      </c>
      <c r="F5" s="14">
        <v>292897.17</v>
      </c>
      <c r="G5" s="18">
        <v>374470.56</v>
      </c>
      <c r="H5" s="14">
        <v>299759.51</v>
      </c>
      <c r="I5" s="14">
        <v>313695</v>
      </c>
      <c r="J5" s="14">
        <f>351931-3107</f>
        <v>348824</v>
      </c>
      <c r="L5" s="13" t="s">
        <v>18</v>
      </c>
      <c r="M5" s="35">
        <f t="shared" si="0"/>
        <v>1.7162066424028139E-2</v>
      </c>
      <c r="N5" s="35">
        <f t="shared" si="1"/>
        <v>1.9725568527818382E-2</v>
      </c>
      <c r="O5" s="35">
        <f t="shared" si="2"/>
        <v>1.0420756610110065E-2</v>
      </c>
      <c r="P5" s="35">
        <f t="shared" si="3"/>
        <v>2.0334684157125218E-2</v>
      </c>
      <c r="Q5" s="35">
        <f t="shared" si="4"/>
        <v>1.6716382666438864E-2</v>
      </c>
      <c r="R5" s="35">
        <f t="shared" si="5"/>
        <v>1.7704093844391172E-2</v>
      </c>
      <c r="S5" s="35">
        <f t="shared" si="6"/>
        <v>1.2584277525555826E-2</v>
      </c>
      <c r="T5" s="35">
        <f t="shared" si="7"/>
        <v>1.3461268005420628E-2</v>
      </c>
      <c r="U5" s="13" t="s">
        <v>17</v>
      </c>
      <c r="V5" s="36">
        <f t="shared" ref="V5:V15" si="9">V4+M4</f>
        <v>0.90447345191130513</v>
      </c>
      <c r="W5" s="36">
        <f t="shared" ref="W5:W15" si="10">W4+N4</f>
        <v>0.88829259589559961</v>
      </c>
      <c r="X5" s="36">
        <f t="shared" ref="X5:X15" si="11">X4+O4</f>
        <v>0.88545983611379697</v>
      </c>
      <c r="Y5" s="36">
        <f t="shared" ref="Y5:Y15" si="12">Y4+P4</f>
        <v>0.89385681983875542</v>
      </c>
      <c r="Z5" s="36">
        <f t="shared" ref="Z5:Z15" si="13">Z4+Q4</f>
        <v>0.91230824701061897</v>
      </c>
      <c r="AA5" s="36">
        <f t="shared" ref="AA5:AC5" si="14">AA4+R4</f>
        <v>0.90249177088822519</v>
      </c>
      <c r="AB5" s="36">
        <f t="shared" si="14"/>
        <v>0.90420247196719439</v>
      </c>
      <c r="AC5" s="36">
        <f t="shared" si="14"/>
        <v>0.91223867294864136</v>
      </c>
    </row>
    <row r="6" spans="2:29" x14ac:dyDescent="0.25">
      <c r="B6" s="13" t="s">
        <v>18</v>
      </c>
      <c r="C6" s="14">
        <v>242686.75</v>
      </c>
      <c r="D6" s="14">
        <v>270443.49</v>
      </c>
      <c r="E6" s="14">
        <v>146409.09</v>
      </c>
      <c r="F6" s="14">
        <v>283332.72000000003</v>
      </c>
      <c r="G6" s="18">
        <v>232570.48</v>
      </c>
      <c r="H6" s="14">
        <v>251267.14</v>
      </c>
      <c r="I6" s="14">
        <v>181272</v>
      </c>
      <c r="J6" s="14">
        <f>202011-3304</f>
        <v>198707</v>
      </c>
      <c r="L6" s="13" t="s">
        <v>19</v>
      </c>
      <c r="M6" s="35">
        <f t="shared" si="0"/>
        <v>1.8587950644921736E-2</v>
      </c>
      <c r="N6" s="35">
        <f t="shared" si="1"/>
        <v>2.3468350576546514E-2</v>
      </c>
      <c r="O6" s="35">
        <f t="shared" si="2"/>
        <v>1.0673956021138705E-2</v>
      </c>
      <c r="P6" s="35">
        <f t="shared" si="3"/>
        <v>1.1543222561736503E-2</v>
      </c>
      <c r="Q6" s="35">
        <f t="shared" si="4"/>
        <v>1.0788746343960105E-2</v>
      </c>
      <c r="R6" s="35">
        <f t="shared" si="5"/>
        <v>1.6576884673922699E-2</v>
      </c>
      <c r="S6" s="35">
        <f t="shared" si="6"/>
        <v>1.5755547118459945E-2</v>
      </c>
      <c r="T6" s="35">
        <f t="shared" si="7"/>
        <v>8.0984254326219186E-3</v>
      </c>
      <c r="U6" s="13" t="s">
        <v>18</v>
      </c>
      <c r="V6" s="36">
        <f t="shared" si="9"/>
        <v>0.9216355183353333</v>
      </c>
      <c r="W6" s="36">
        <f t="shared" si="10"/>
        <v>0.90801816442341798</v>
      </c>
      <c r="X6" s="36">
        <f t="shared" si="11"/>
        <v>0.89588059272390708</v>
      </c>
      <c r="Y6" s="36">
        <f t="shared" si="12"/>
        <v>0.91419150399588067</v>
      </c>
      <c r="Z6" s="36">
        <f t="shared" si="13"/>
        <v>0.92902462967705779</v>
      </c>
      <c r="AA6" s="36">
        <f t="shared" ref="AA6:AC15" si="15">IFERROR(AA5+R5,"")</f>
        <v>0.92019586473261639</v>
      </c>
      <c r="AB6" s="36">
        <f t="shared" si="15"/>
        <v>0.91678674949275019</v>
      </c>
      <c r="AC6" s="36">
        <f t="shared" si="15"/>
        <v>0.92569994095406194</v>
      </c>
    </row>
    <row r="7" spans="2:29" x14ac:dyDescent="0.25">
      <c r="B7" s="13" t="s">
        <v>19</v>
      </c>
      <c r="C7" s="14">
        <v>262850.01</v>
      </c>
      <c r="D7" s="14">
        <v>321758.15999999997</v>
      </c>
      <c r="E7" s="14">
        <v>149966.47999999998</v>
      </c>
      <c r="F7" s="14">
        <v>160837.15</v>
      </c>
      <c r="G7" s="18">
        <v>150100.89000000001</v>
      </c>
      <c r="H7" s="14">
        <f>238703.96-3434.85</f>
        <v>235269.11</v>
      </c>
      <c r="I7" s="14">
        <v>226953</v>
      </c>
      <c r="J7" s="14">
        <f>119544</f>
        <v>119544</v>
      </c>
      <c r="L7" s="13" t="s">
        <v>20</v>
      </c>
      <c r="M7" s="35">
        <f t="shared" si="0"/>
        <v>5.4000600488725951E-3</v>
      </c>
      <c r="N7" s="35">
        <f t="shared" si="1"/>
        <v>5.6201003680195535E-3</v>
      </c>
      <c r="O7" s="35">
        <f t="shared" si="2"/>
        <v>1.1806634037099327E-2</v>
      </c>
      <c r="P7" s="35">
        <f t="shared" si="3"/>
        <v>1.1173329789272506E-2</v>
      </c>
      <c r="Q7" s="35">
        <f t="shared" si="4"/>
        <v>1.0877769145785676E-2</v>
      </c>
      <c r="R7" s="35">
        <f t="shared" si="5"/>
        <v>8.4584841073176084E-3</v>
      </c>
      <c r="S7" s="35">
        <f t="shared" si="6"/>
        <v>1.002183948909244E-2</v>
      </c>
      <c r="T7" s="35">
        <f t="shared" si="7"/>
        <v>1.1531029466876692E-2</v>
      </c>
      <c r="U7" s="13" t="s">
        <v>19</v>
      </c>
      <c r="V7" s="36">
        <f t="shared" si="9"/>
        <v>0.94022346898025499</v>
      </c>
      <c r="W7" s="36">
        <f t="shared" si="10"/>
        <v>0.93148651499996449</v>
      </c>
      <c r="X7" s="36">
        <f t="shared" si="11"/>
        <v>0.90655454874504582</v>
      </c>
      <c r="Y7" s="36">
        <f t="shared" si="12"/>
        <v>0.92573472655761713</v>
      </c>
      <c r="Z7" s="36">
        <f t="shared" si="13"/>
        <v>0.93981337602101789</v>
      </c>
      <c r="AA7" s="36">
        <f t="shared" si="15"/>
        <v>0.9367727494065391</v>
      </c>
      <c r="AB7" s="36">
        <f t="shared" si="15"/>
        <v>0.93254229661121013</v>
      </c>
      <c r="AC7" s="36">
        <f t="shared" si="15"/>
        <v>0.9337983663866839</v>
      </c>
    </row>
    <row r="8" spans="2:29" x14ac:dyDescent="0.25">
      <c r="B8" s="13" t="s">
        <v>20</v>
      </c>
      <c r="C8" s="14">
        <v>76361.61</v>
      </c>
      <c r="D8" s="14">
        <v>77053.27</v>
      </c>
      <c r="E8" s="14">
        <v>165880.32999999999</v>
      </c>
      <c r="F8" s="14">
        <v>155683.26</v>
      </c>
      <c r="G8" s="18">
        <v>151339.44</v>
      </c>
      <c r="H8" s="14">
        <v>120047.89</v>
      </c>
      <c r="I8" s="14">
        <v>144361</v>
      </c>
      <c r="J8" s="14">
        <v>170214</v>
      </c>
      <c r="L8" s="13" t="s">
        <v>21</v>
      </c>
      <c r="M8" s="35">
        <f t="shared" si="0"/>
        <v>3.2780678871448354E-3</v>
      </c>
      <c r="N8" s="35">
        <f t="shared" si="1"/>
        <v>4.0324992388332918E-3</v>
      </c>
      <c r="O8" s="35">
        <f t="shared" si="2"/>
        <v>1.2502006956530665E-2</v>
      </c>
      <c r="P8" s="35">
        <f t="shared" si="3"/>
        <v>6.7078442950524036E-3</v>
      </c>
      <c r="Q8" s="35">
        <f t="shared" si="4"/>
        <v>3.2855124472000647E-3</v>
      </c>
      <c r="R8" s="35">
        <f t="shared" si="5"/>
        <v>3.7543604586643426E-3</v>
      </c>
      <c r="S8" s="35">
        <f t="shared" si="6"/>
        <v>4.8287215210708829E-3</v>
      </c>
      <c r="T8" s="35">
        <f t="shared" si="7"/>
        <v>3.1679947712234106E-3</v>
      </c>
      <c r="U8" s="13" t="s">
        <v>20</v>
      </c>
      <c r="V8" s="36">
        <f t="shared" si="9"/>
        <v>0.94562352902912761</v>
      </c>
      <c r="W8" s="36">
        <f t="shared" si="10"/>
        <v>0.93710661536798401</v>
      </c>
      <c r="X8" s="36">
        <f t="shared" si="11"/>
        <v>0.91836118278214518</v>
      </c>
      <c r="Y8" s="36">
        <f t="shared" si="12"/>
        <v>0.93690805634688967</v>
      </c>
      <c r="Z8" s="36">
        <f t="shared" si="13"/>
        <v>0.95069114516680353</v>
      </c>
      <c r="AA8" s="36">
        <f t="shared" si="15"/>
        <v>0.94523123351385674</v>
      </c>
      <c r="AB8" s="36">
        <f t="shared" si="15"/>
        <v>0.94256413610030254</v>
      </c>
      <c r="AC8" s="36">
        <f t="shared" si="15"/>
        <v>0.94532939585356057</v>
      </c>
    </row>
    <row r="9" spans="2:29" x14ac:dyDescent="0.25">
      <c r="B9" s="13" t="s">
        <v>21</v>
      </c>
      <c r="C9" s="14">
        <v>46354.770000000004</v>
      </c>
      <c r="D9" s="14">
        <v>55286.780000000006</v>
      </c>
      <c r="E9" s="14">
        <v>175650.15</v>
      </c>
      <c r="F9" s="14">
        <v>93463.549999999988</v>
      </c>
      <c r="G9" s="18">
        <v>45710.44</v>
      </c>
      <c r="H9" s="14">
        <f>54416.73-1132.59</f>
        <v>53284.140000000007</v>
      </c>
      <c r="I9" s="14">
        <v>69556</v>
      </c>
      <c r="J9" s="14">
        <f>49170-2406</f>
        <v>46764</v>
      </c>
      <c r="L9" s="13" t="s">
        <v>22</v>
      </c>
      <c r="M9" s="35">
        <f t="shared" si="0"/>
        <v>2.605386349871181E-3</v>
      </c>
      <c r="N9" s="35">
        <f t="shared" si="1"/>
        <v>4.3032883257378366E-3</v>
      </c>
      <c r="O9" s="35">
        <f t="shared" si="2"/>
        <v>9.3465016718987607E-3</v>
      </c>
      <c r="P9" s="35">
        <f t="shared" si="3"/>
        <v>2.3864822633229391E-3</v>
      </c>
      <c r="Q9" s="35">
        <f t="shared" si="4"/>
        <v>3.5271976202964125E-3</v>
      </c>
      <c r="R9" s="35">
        <f t="shared" si="5"/>
        <v>2.7397782830645345E-3</v>
      </c>
      <c r="S9" s="35">
        <f t="shared" si="6"/>
        <v>6.3509392563132951E-3</v>
      </c>
      <c r="T9" s="35">
        <f t="shared" si="7"/>
        <v>2.0931913719766733E-3</v>
      </c>
      <c r="U9" s="13" t="s">
        <v>21</v>
      </c>
      <c r="V9" s="36">
        <f t="shared" si="9"/>
        <v>0.94890159691627241</v>
      </c>
      <c r="W9" s="36">
        <f t="shared" si="10"/>
        <v>0.94113911460681732</v>
      </c>
      <c r="X9" s="36">
        <f t="shared" si="11"/>
        <v>0.93086318973867588</v>
      </c>
      <c r="Y9" s="36">
        <f t="shared" si="12"/>
        <v>0.94361590064194212</v>
      </c>
      <c r="Z9" s="36">
        <f t="shared" si="13"/>
        <v>0.95397665761400363</v>
      </c>
      <c r="AA9" s="36">
        <f t="shared" si="15"/>
        <v>0.94898559397252114</v>
      </c>
      <c r="AB9" s="36">
        <f t="shared" si="15"/>
        <v>0.94739285762137337</v>
      </c>
      <c r="AC9" s="36">
        <f>IFERROR(AC8+T8,"")</f>
        <v>0.948497390624784</v>
      </c>
    </row>
    <row r="10" spans="2:29" x14ac:dyDescent="0.25">
      <c r="B10" s="13" t="s">
        <v>22</v>
      </c>
      <c r="C10" s="14">
        <v>36842.460000000006</v>
      </c>
      <c r="D10" s="14">
        <v>58999.38</v>
      </c>
      <c r="E10" s="14">
        <v>131316.07</v>
      </c>
      <c r="F10" s="14">
        <v>33251.980000000003</v>
      </c>
      <c r="G10" s="18">
        <v>49072.94</v>
      </c>
      <c r="H10" s="14">
        <f>39976.38-1091.8</f>
        <v>38884.579999999994</v>
      </c>
      <c r="I10" s="14">
        <f>91547-64</f>
        <v>91483</v>
      </c>
      <c r="J10" s="14">
        <v>30898.41</v>
      </c>
      <c r="L10" s="13" t="s">
        <v>30</v>
      </c>
      <c r="M10" s="35">
        <f t="shared" si="0"/>
        <v>3.2056148374635567E-3</v>
      </c>
      <c r="N10" s="35">
        <f t="shared" si="1"/>
        <v>2.7426450283998534E-3</v>
      </c>
      <c r="O10" s="35">
        <f t="shared" si="2"/>
        <v>3.0504329989008167E-3</v>
      </c>
      <c r="P10" s="35">
        <f t="shared" si="3"/>
        <v>2.8835544066009898E-3</v>
      </c>
      <c r="Q10" s="35">
        <f t="shared" si="4"/>
        <v>2.6397390086487062E-3</v>
      </c>
      <c r="R10" s="35">
        <f t="shared" si="5"/>
        <v>2.0303269287990271E-3</v>
      </c>
      <c r="S10" s="35">
        <f t="shared" si="6"/>
        <v>2.2264352162612035E-3</v>
      </c>
      <c r="T10" s="35">
        <f t="shared" si="7"/>
        <v>3.6293335017005177E-3</v>
      </c>
      <c r="U10" s="13" t="s">
        <v>22</v>
      </c>
      <c r="V10" s="36">
        <f t="shared" si="9"/>
        <v>0.95150698326614358</v>
      </c>
      <c r="W10" s="36">
        <f t="shared" si="10"/>
        <v>0.9454424029325551</v>
      </c>
      <c r="X10" s="36">
        <f t="shared" si="11"/>
        <v>0.94020969141057464</v>
      </c>
      <c r="Y10" s="36">
        <f t="shared" si="12"/>
        <v>0.94600238290526506</v>
      </c>
      <c r="Z10" s="36">
        <f t="shared" si="13"/>
        <v>0.95750385523430004</v>
      </c>
      <c r="AA10" s="36">
        <f t="shared" si="15"/>
        <v>0.95172537225558562</v>
      </c>
      <c r="AB10" s="36">
        <f t="shared" si="15"/>
        <v>0.95374379687768662</v>
      </c>
      <c r="AC10" s="36">
        <f>IFERROR(AC9+T9,"")</f>
        <v>0.95059058199676072</v>
      </c>
    </row>
    <row r="11" spans="2:29" x14ac:dyDescent="0.25">
      <c r="B11" s="13" t="s">
        <v>30</v>
      </c>
      <c r="C11" s="14">
        <v>45330.22</v>
      </c>
      <c r="D11" s="14">
        <v>37602.49</v>
      </c>
      <c r="E11" s="14">
        <v>42857.840000000004</v>
      </c>
      <c r="F11" s="14">
        <v>40177.920000000006</v>
      </c>
      <c r="G11" s="18">
        <v>36725.97</v>
      </c>
      <c r="H11" s="14">
        <v>28815.62</v>
      </c>
      <c r="I11" s="14">
        <v>32071</v>
      </c>
      <c r="J11" s="14">
        <f>58463-4889</f>
        <v>53574</v>
      </c>
      <c r="L11" s="13" t="s">
        <v>23</v>
      </c>
      <c r="M11" s="35">
        <f t="shared" si="0"/>
        <v>2.4217464562556082E-3</v>
      </c>
      <c r="N11" s="35">
        <f t="shared" si="1"/>
        <v>2.2160271383851364E-3</v>
      </c>
      <c r="O11" s="35">
        <f t="shared" si="2"/>
        <v>4.0420302751701413E-3</v>
      </c>
      <c r="P11" s="35">
        <f t="shared" si="3"/>
        <v>1.1977123795391903E-3</v>
      </c>
      <c r="Q11" s="35">
        <f t="shared" si="4"/>
        <v>2.9091211228903166E-3</v>
      </c>
      <c r="R11" s="35">
        <f t="shared" si="5"/>
        <v>2.9317515513893472E-3</v>
      </c>
      <c r="S11" s="35">
        <f t="shared" si="6"/>
        <v>2.484129941176597E-3</v>
      </c>
      <c r="T11" s="35">
        <f t="shared" si="7"/>
        <v>3.7649569268147411E-3</v>
      </c>
      <c r="U11" s="13" t="s">
        <v>30</v>
      </c>
      <c r="V11" s="36">
        <f t="shared" si="9"/>
        <v>0.95471259810360709</v>
      </c>
      <c r="W11" s="36">
        <f t="shared" si="10"/>
        <v>0.94818504796095493</v>
      </c>
      <c r="X11" s="36">
        <f t="shared" si="11"/>
        <v>0.94326012440947549</v>
      </c>
      <c r="Y11" s="36">
        <f t="shared" si="12"/>
        <v>0.9488859373118661</v>
      </c>
      <c r="Z11" s="36">
        <f t="shared" si="13"/>
        <v>0.96014359424294871</v>
      </c>
      <c r="AA11" s="36">
        <f t="shared" si="15"/>
        <v>0.95375569918438463</v>
      </c>
      <c r="AB11" s="36">
        <f t="shared" si="15"/>
        <v>0.95597023209394782</v>
      </c>
      <c r="AC11" s="36">
        <f t="shared" si="15"/>
        <v>0.95421991549846119</v>
      </c>
    </row>
    <row r="12" spans="2:29" x14ac:dyDescent="0.25">
      <c r="B12" s="13" t="s">
        <v>23</v>
      </c>
      <c r="C12" s="14">
        <v>34245.629999999997</v>
      </c>
      <c r="D12" s="14">
        <v>30382.400000000001</v>
      </c>
      <c r="E12" s="14">
        <v>56789.54</v>
      </c>
      <c r="F12" s="14">
        <v>16688.29</v>
      </c>
      <c r="G12" s="18">
        <v>40473.81</v>
      </c>
      <c r="H12" s="14">
        <f>42907.44-1298.26</f>
        <v>41609.18</v>
      </c>
      <c r="I12" s="14">
        <f>36688-905</f>
        <v>35783</v>
      </c>
      <c r="J12" s="14">
        <f>56280.99-705</f>
        <v>55575.99</v>
      </c>
      <c r="L12" s="13" t="s">
        <v>24</v>
      </c>
      <c r="M12" s="35">
        <f t="shared" si="0"/>
        <v>3.1451935694159442E-3</v>
      </c>
      <c r="N12" s="35">
        <f t="shared" si="1"/>
        <v>2.5542356037816672E-3</v>
      </c>
      <c r="O12" s="35">
        <f t="shared" si="2"/>
        <v>6.3935493679334451E-3</v>
      </c>
      <c r="P12" s="35">
        <f t="shared" si="3"/>
        <v>6.5632593538482269E-3</v>
      </c>
      <c r="Q12" s="35">
        <f t="shared" si="4"/>
        <v>6.4386770154630981E-3</v>
      </c>
      <c r="R12" s="35">
        <f t="shared" si="5"/>
        <v>1.9745833057661527E-3</v>
      </c>
      <c r="S12" s="35">
        <f t="shared" si="6"/>
        <v>7.0176688193756441E-3</v>
      </c>
      <c r="T12" s="35">
        <f t="shared" si="7"/>
        <v>7.7997407831838037E-3</v>
      </c>
      <c r="U12" s="13" t="s">
        <v>23</v>
      </c>
      <c r="V12" s="36">
        <f t="shared" si="9"/>
        <v>0.95713434455986268</v>
      </c>
      <c r="W12" s="36">
        <f t="shared" si="10"/>
        <v>0.95040107509934002</v>
      </c>
      <c r="X12" s="36">
        <f t="shared" si="11"/>
        <v>0.94730215468464563</v>
      </c>
      <c r="Y12" s="36">
        <f t="shared" si="12"/>
        <v>0.95008364969140524</v>
      </c>
      <c r="Z12" s="36">
        <f t="shared" si="13"/>
        <v>0.96305271536583903</v>
      </c>
      <c r="AA12" s="36">
        <f t="shared" si="15"/>
        <v>0.95668745073577399</v>
      </c>
      <c r="AB12" s="36">
        <f t="shared" si="15"/>
        <v>0.95845436203512446</v>
      </c>
      <c r="AC12" s="36">
        <f t="shared" si="15"/>
        <v>0.95798487242527597</v>
      </c>
    </row>
    <row r="13" spans="2:29" x14ac:dyDescent="0.25">
      <c r="B13" s="13" t="s">
        <v>24</v>
      </c>
      <c r="C13" s="14">
        <v>44475.81</v>
      </c>
      <c r="D13" s="14">
        <v>35019.339999999997</v>
      </c>
      <c r="E13" s="14">
        <v>89827.81</v>
      </c>
      <c r="F13" s="14">
        <v>91448.98</v>
      </c>
      <c r="G13" s="18">
        <v>89579.56</v>
      </c>
      <c r="H13" s="14">
        <v>28024.473000000002</v>
      </c>
      <c r="I13" s="14">
        <v>101087</v>
      </c>
      <c r="J13" s="14">
        <v>115135</v>
      </c>
      <c r="L13" s="13" t="s">
        <v>25</v>
      </c>
      <c r="M13" s="35">
        <f t="shared" si="0"/>
        <v>4.6623373052997272E-3</v>
      </c>
      <c r="N13" s="35">
        <f t="shared" si="1"/>
        <v>7.2572270313056514E-3</v>
      </c>
      <c r="O13" s="35">
        <f t="shared" si="2"/>
        <v>8.2336702636396347E-3</v>
      </c>
      <c r="P13" s="35">
        <f t="shared" si="3"/>
        <v>5.2392632884631076E-3</v>
      </c>
      <c r="Q13" s="35">
        <f t="shared" si="4"/>
        <v>1.8308084918752553E-3</v>
      </c>
      <c r="R13" s="35">
        <f t="shared" si="5"/>
        <v>5.4633699629828324E-3</v>
      </c>
      <c r="S13" s="35">
        <f t="shared" si="6"/>
        <v>1.29985884410448E-3</v>
      </c>
      <c r="T13" s="35" t="str">
        <f t="shared" si="7"/>
        <v/>
      </c>
      <c r="U13" s="13" t="s">
        <v>24</v>
      </c>
      <c r="V13" s="36">
        <f t="shared" si="9"/>
        <v>0.96027953812927858</v>
      </c>
      <c r="W13" s="36">
        <f t="shared" si="10"/>
        <v>0.95295531070312167</v>
      </c>
      <c r="X13" s="36">
        <f t="shared" si="11"/>
        <v>0.95369570405257909</v>
      </c>
      <c r="Y13" s="36">
        <f t="shared" si="12"/>
        <v>0.95664690904525351</v>
      </c>
      <c r="Z13" s="36">
        <f t="shared" si="13"/>
        <v>0.96949139238130211</v>
      </c>
      <c r="AA13" s="36">
        <f t="shared" si="15"/>
        <v>0.95866203404154016</v>
      </c>
      <c r="AB13" s="36">
        <f t="shared" si="15"/>
        <v>0.96547203085450006</v>
      </c>
      <c r="AC13" s="36">
        <f t="shared" si="15"/>
        <v>0.96578461320845976</v>
      </c>
    </row>
    <row r="14" spans="2:29" x14ac:dyDescent="0.25">
      <c r="B14" s="13" t="s">
        <v>25</v>
      </c>
      <c r="C14" s="14">
        <v>65929.56</v>
      </c>
      <c r="D14" s="14">
        <v>99498.76999999999</v>
      </c>
      <c r="E14" s="14">
        <v>115681.06</v>
      </c>
      <c r="F14" s="14">
        <v>73001.12000000001</v>
      </c>
      <c r="G14" s="18">
        <v>25471.540000000005</v>
      </c>
      <c r="H14" s="14">
        <f>1188880.55-619140.19-492200.93</f>
        <v>77539.430000000109</v>
      </c>
      <c r="I14" s="14">
        <f>5689+1989+230+2278+3935+2356+1847+400</f>
        <v>18724</v>
      </c>
      <c r="J14" s="14"/>
      <c r="L14" s="13" t="s">
        <v>26</v>
      </c>
      <c r="M14" s="35">
        <f t="shared" si="0"/>
        <v>3.4908622571569723E-3</v>
      </c>
      <c r="N14" s="35">
        <f t="shared" si="1"/>
        <v>0</v>
      </c>
      <c r="O14" s="35">
        <f t="shared" si="2"/>
        <v>1.0533990603290339E-5</v>
      </c>
      <c r="P14" s="35">
        <f t="shared" si="3"/>
        <v>6.6566330763822957E-6</v>
      </c>
      <c r="Q14" s="35">
        <f t="shared" si="4"/>
        <v>1.3780475279323175E-4</v>
      </c>
      <c r="R14" s="35">
        <f t="shared" si="5"/>
        <v>1.5071233243293459E-4</v>
      </c>
      <c r="S14" s="35">
        <f t="shared" si="6"/>
        <v>0</v>
      </c>
      <c r="T14" s="35" t="str">
        <f t="shared" si="7"/>
        <v/>
      </c>
      <c r="U14" s="13" t="s">
        <v>25</v>
      </c>
      <c r="V14" s="36">
        <f t="shared" si="9"/>
        <v>0.96494187543457832</v>
      </c>
      <c r="W14" s="36">
        <f t="shared" si="10"/>
        <v>0.96021253773442727</v>
      </c>
      <c r="X14" s="36">
        <f t="shared" si="11"/>
        <v>0.96192937431621872</v>
      </c>
      <c r="Y14" s="36">
        <f t="shared" si="12"/>
        <v>0.96188617233371665</v>
      </c>
      <c r="Z14" s="36">
        <f t="shared" si="13"/>
        <v>0.97132220087317733</v>
      </c>
      <c r="AA14" s="36">
        <f t="shared" si="15"/>
        <v>0.96412540400452296</v>
      </c>
      <c r="AB14" s="36">
        <f t="shared" si="15"/>
        <v>0.9667718896986045</v>
      </c>
      <c r="AC14" s="36" t="str">
        <f t="shared" si="15"/>
        <v/>
      </c>
    </row>
    <row r="15" spans="2:29" x14ac:dyDescent="0.25">
      <c r="B15" s="13" t="s">
        <v>26</v>
      </c>
      <c r="C15" s="14">
        <v>49363.869999999995</v>
      </c>
      <c r="D15" s="14">
        <v>0</v>
      </c>
      <c r="E15" s="14">
        <v>148</v>
      </c>
      <c r="F15" s="14">
        <v>92.75</v>
      </c>
      <c r="G15" s="18">
        <v>1917.24</v>
      </c>
      <c r="H15" s="14">
        <v>2139</v>
      </c>
      <c r="I15" s="14">
        <v>0</v>
      </c>
      <c r="J15" s="14"/>
      <c r="U15" s="13" t="s">
        <v>26</v>
      </c>
      <c r="V15" s="36">
        <f t="shared" si="9"/>
        <v>0.96843273769173532</v>
      </c>
      <c r="W15" s="36">
        <f t="shared" si="10"/>
        <v>0.96021253773442727</v>
      </c>
      <c r="X15" s="36">
        <f t="shared" si="11"/>
        <v>0.96193990830682197</v>
      </c>
      <c r="Y15" s="36">
        <f t="shared" si="12"/>
        <v>0.96189282896679307</v>
      </c>
      <c r="Z15" s="36">
        <f t="shared" si="13"/>
        <v>0.97146000562597057</v>
      </c>
      <c r="AA15" s="36">
        <f t="shared" si="15"/>
        <v>0.96427611633695587</v>
      </c>
      <c r="AB15" s="36">
        <f t="shared" si="15"/>
        <v>0.9667718896986045</v>
      </c>
      <c r="AC15" s="36" t="str">
        <f t="shared" si="15"/>
        <v/>
      </c>
    </row>
    <row r="16" spans="2:29" x14ac:dyDescent="0.25">
      <c r="B16" s="13" t="s">
        <v>52</v>
      </c>
      <c r="C16" s="14">
        <v>446388.92</v>
      </c>
      <c r="D16" s="14">
        <v>545498.1</v>
      </c>
      <c r="E16" s="14">
        <v>534735.01</v>
      </c>
      <c r="F16" s="14">
        <v>530965.14</v>
      </c>
      <c r="G16" s="18">
        <v>397069.17</v>
      </c>
      <c r="H16" s="14">
        <f>H3-SUM(H4:H15)</f>
        <v>507014.82700000517</v>
      </c>
      <c r="I16" s="14">
        <f>I3-SUM(I4:I15)</f>
        <v>478639</v>
      </c>
      <c r="J16" s="14"/>
    </row>
    <row r="17" spans="2:10" x14ac:dyDescent="0.25">
      <c r="B17" s="5" t="s">
        <v>28</v>
      </c>
      <c r="C17" s="16">
        <f t="shared" ref="C17:G17" si="16">SUM(C4:C16)</f>
        <v>14140881.640000002</v>
      </c>
      <c r="D17" s="16">
        <f t="shared" si="16"/>
        <v>13710301.41</v>
      </c>
      <c r="E17" s="16">
        <f t="shared" si="16"/>
        <v>14049756.220000001</v>
      </c>
      <c r="F17" s="16">
        <f t="shared" si="16"/>
        <v>13933470.410000002</v>
      </c>
      <c r="G17" s="16">
        <f t="shared" si="16"/>
        <v>13912727.689999999</v>
      </c>
      <c r="H17" s="16">
        <f>H3</f>
        <v>14192601</v>
      </c>
      <c r="I17" s="16">
        <f>I3</f>
        <v>14404641</v>
      </c>
      <c r="J17" s="16">
        <f>J3</f>
        <v>14761388</v>
      </c>
    </row>
    <row r="18" spans="2:10" x14ac:dyDescent="0.25">
      <c r="B18" s="23" t="s">
        <v>37</v>
      </c>
      <c r="C18" s="22">
        <f t="shared" ref="C18" si="17">C16/C3</f>
        <v>3.1567262308264385E-2</v>
      </c>
      <c r="D18" s="22">
        <f t="shared" ref="D18:G18" si="18">D16/D3</f>
        <v>3.9787462265572462E-2</v>
      </c>
      <c r="E18" s="22">
        <f t="shared" si="18"/>
        <v>3.8060090419971541E-2</v>
      </c>
      <c r="F18" s="22">
        <f t="shared" si="18"/>
        <v>3.8107171033207085E-2</v>
      </c>
      <c r="G18" s="22">
        <f t="shared" si="18"/>
        <v>2.8539994353515591E-2</v>
      </c>
      <c r="H18" s="22">
        <f>H16/H3</f>
        <v>3.5723883663044229E-2</v>
      </c>
      <c r="I18" s="22">
        <f>I16/I3</f>
        <v>3.3228110301395226E-2</v>
      </c>
      <c r="J18" s="22">
        <f>J16/J3</f>
        <v>0</v>
      </c>
    </row>
    <row r="20" spans="2:10" x14ac:dyDescent="0.25">
      <c r="G20" s="24"/>
      <c r="H20" s="24"/>
      <c r="I20" s="24"/>
    </row>
    <row r="21" spans="2:10" hidden="1" x14ac:dyDescent="0.25">
      <c r="B21" s="44"/>
      <c r="C21" s="44"/>
      <c r="D21" s="44"/>
      <c r="E21" s="44"/>
      <c r="F21" s="44"/>
      <c r="G21" s="44"/>
      <c r="H21" s="44"/>
      <c r="I21" s="39"/>
      <c r="J21" s="37"/>
    </row>
    <row r="22" spans="2:10" x14ac:dyDescent="0.25">
      <c r="G22" s="24"/>
      <c r="H22" s="24"/>
      <c r="I22" s="24"/>
    </row>
  </sheetData>
  <mergeCells count="2">
    <mergeCell ref="B21:H21"/>
    <mergeCell ref="U2:AA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6"/>
  <sheetViews>
    <sheetView showGridLines="0" workbookViewId="0">
      <selection activeCell="J15" sqref="J15"/>
    </sheetView>
  </sheetViews>
  <sheetFormatPr defaultRowHeight="15" x14ac:dyDescent="0.25"/>
  <cols>
    <col min="1" max="1" width="6.5703125" customWidth="1"/>
    <col min="2" max="2" width="28.140625" bestFit="1" customWidth="1"/>
    <col min="3" max="8" width="13.140625" bestFit="1" customWidth="1"/>
    <col min="9" max="10" width="13.140625" customWidth="1"/>
    <col min="13" max="13" width="10.140625" hidden="1" customWidth="1"/>
    <col min="14" max="18" width="0" hidden="1" customWidth="1"/>
  </cols>
  <sheetData>
    <row r="2" spans="2:10" x14ac:dyDescent="0.25">
      <c r="B2" s="17" t="s">
        <v>50</v>
      </c>
      <c r="C2" s="17">
        <v>2018</v>
      </c>
      <c r="D2" s="17">
        <v>2019</v>
      </c>
      <c r="E2" s="17">
        <v>2020</v>
      </c>
      <c r="F2" s="17">
        <v>2021</v>
      </c>
      <c r="G2" s="17">
        <v>2022</v>
      </c>
      <c r="H2" s="17">
        <v>2023</v>
      </c>
      <c r="I2" s="17">
        <v>2024</v>
      </c>
      <c r="J2" s="17">
        <v>2025</v>
      </c>
    </row>
    <row r="3" spans="2:10" x14ac:dyDescent="0.25">
      <c r="B3" s="13" t="s">
        <v>34</v>
      </c>
      <c r="C3" s="14">
        <v>1685659.61</v>
      </c>
      <c r="D3" s="14">
        <v>1602393.4</v>
      </c>
      <c r="E3" s="14">
        <v>1870497.15</v>
      </c>
      <c r="F3" s="14">
        <v>2148680.9900000002</v>
      </c>
      <c r="G3" s="18">
        <v>2230721.92</v>
      </c>
      <c r="H3" s="14">
        <v>1635917.23</v>
      </c>
      <c r="I3" s="14">
        <v>2024409</v>
      </c>
      <c r="J3" s="14">
        <v>1931130</v>
      </c>
    </row>
    <row r="4" spans="2:10" x14ac:dyDescent="0.25">
      <c r="B4" s="13" t="s">
        <v>17</v>
      </c>
      <c r="C4" s="14">
        <v>1574618.53</v>
      </c>
      <c r="D4" s="14">
        <v>1551863.82</v>
      </c>
      <c r="E4" s="14">
        <v>1815841.81</v>
      </c>
      <c r="F4" s="14">
        <v>2094486.39</v>
      </c>
      <c r="G4" s="18">
        <v>2083450.86</v>
      </c>
      <c r="H4" s="14">
        <v>1594546.24</v>
      </c>
      <c r="I4" s="14">
        <v>1949665</v>
      </c>
      <c r="J4" s="14">
        <v>1846197</v>
      </c>
    </row>
    <row r="5" spans="2:10" x14ac:dyDescent="0.25">
      <c r="B5" s="13" t="s">
        <v>18</v>
      </c>
      <c r="C5" s="14">
        <v>1460341.26</v>
      </c>
      <c r="D5" s="14">
        <v>1476711.69</v>
      </c>
      <c r="E5" s="14">
        <v>1759940.22</v>
      </c>
      <c r="F5" s="14">
        <v>1988841.3</v>
      </c>
      <c r="G5" s="18">
        <v>1985894.1</v>
      </c>
      <c r="H5" s="14">
        <v>1510755.94</v>
      </c>
      <c r="I5" s="14">
        <v>1915473</v>
      </c>
      <c r="J5" s="14">
        <v>1729976</v>
      </c>
    </row>
    <row r="6" spans="2:10" x14ac:dyDescent="0.25">
      <c r="B6" s="13" t="s">
        <v>19</v>
      </c>
      <c r="C6" s="14">
        <v>1189086.54</v>
      </c>
      <c r="D6" s="14">
        <v>1333204.31</v>
      </c>
      <c r="E6" s="14">
        <v>1539837.11</v>
      </c>
      <c r="F6" s="14">
        <v>1898006.7</v>
      </c>
      <c r="G6" s="18">
        <v>1772257.46</v>
      </c>
      <c r="H6" s="14">
        <v>1276480.8899999999</v>
      </c>
      <c r="I6" s="14">
        <v>1701256</v>
      </c>
      <c r="J6" s="14">
        <v>1515015</v>
      </c>
    </row>
    <row r="7" spans="2:10" x14ac:dyDescent="0.25">
      <c r="B7" s="13" t="s">
        <v>20</v>
      </c>
      <c r="C7" s="14">
        <v>1133605.8700000001</v>
      </c>
      <c r="D7" s="14">
        <v>1298041.05</v>
      </c>
      <c r="E7" s="14">
        <v>1483080.79</v>
      </c>
      <c r="F7" s="14">
        <v>1692911.06</v>
      </c>
      <c r="G7" s="18">
        <v>1620837.68</v>
      </c>
      <c r="H7" s="14">
        <v>1221392.5900000001</v>
      </c>
      <c r="I7" s="14">
        <v>1685874</v>
      </c>
      <c r="J7" s="14">
        <v>1427030.28</v>
      </c>
    </row>
    <row r="8" spans="2:10" x14ac:dyDescent="0.25">
      <c r="B8" s="13" t="s">
        <v>21</v>
      </c>
      <c r="C8" s="14">
        <v>1075393.0900000001</v>
      </c>
      <c r="D8" s="14">
        <v>1223491.1499999999</v>
      </c>
      <c r="E8" s="14">
        <v>1393467.33</v>
      </c>
      <c r="F8" s="14">
        <v>1582391.27</v>
      </c>
      <c r="G8" s="18">
        <v>1549567.13</v>
      </c>
      <c r="H8" s="14">
        <v>1178454.1499999999</v>
      </c>
      <c r="I8" s="14">
        <v>1600919</v>
      </c>
      <c r="J8" s="14">
        <v>1376776</v>
      </c>
    </row>
    <row r="9" spans="2:10" x14ac:dyDescent="0.25">
      <c r="B9" s="13" t="s">
        <v>22</v>
      </c>
      <c r="C9" s="14">
        <v>1078777.58</v>
      </c>
      <c r="D9" s="14">
        <v>1207472.3500000001</v>
      </c>
      <c r="E9" s="14">
        <v>1361908.29</v>
      </c>
      <c r="F9" s="14">
        <v>1553423.77</v>
      </c>
      <c r="G9" s="18">
        <v>1473376.69</v>
      </c>
      <c r="H9" s="14">
        <v>1179847.18</v>
      </c>
      <c r="I9" s="14">
        <v>1600919</v>
      </c>
      <c r="J9" s="14">
        <v>1359869</v>
      </c>
    </row>
    <row r="10" spans="2:10" x14ac:dyDescent="0.25">
      <c r="B10" s="13" t="s">
        <v>30</v>
      </c>
      <c r="C10" s="14">
        <v>1019058.85</v>
      </c>
      <c r="D10" s="14">
        <v>1187704.29</v>
      </c>
      <c r="E10" s="14">
        <v>1325057.3700000001</v>
      </c>
      <c r="F10" s="14">
        <v>1522458.24</v>
      </c>
      <c r="G10" s="18">
        <v>1420029.59</v>
      </c>
      <c r="H10" s="14">
        <v>1166510.47</v>
      </c>
      <c r="I10" s="14">
        <v>1532775</v>
      </c>
      <c r="J10" s="14">
        <v>1314098</v>
      </c>
    </row>
    <row r="11" spans="2:10" x14ac:dyDescent="0.25">
      <c r="B11" s="13" t="s">
        <v>23</v>
      </c>
      <c r="C11" s="14">
        <v>984277.13</v>
      </c>
      <c r="D11" s="14">
        <v>1183755.1299999999</v>
      </c>
      <c r="E11" s="14">
        <v>1288920.6599999999</v>
      </c>
      <c r="F11" s="14">
        <v>1500881.31</v>
      </c>
      <c r="G11" s="18">
        <v>1061692.1399999999</v>
      </c>
      <c r="H11" s="14">
        <v>1131110.6399999999</v>
      </c>
      <c r="I11" s="14">
        <v>1517396</v>
      </c>
      <c r="J11" s="14">
        <v>1266853</v>
      </c>
    </row>
    <row r="12" spans="2:10" x14ac:dyDescent="0.25">
      <c r="B12" s="13" t="s">
        <v>24</v>
      </c>
      <c r="C12" s="14">
        <v>919556.11</v>
      </c>
      <c r="D12" s="14">
        <v>1147966.77</v>
      </c>
      <c r="E12" s="14">
        <v>1244144.07</v>
      </c>
      <c r="F12" s="14">
        <v>1488460.84</v>
      </c>
      <c r="G12" s="18">
        <v>1027759.64</v>
      </c>
      <c r="H12" s="14">
        <v>1124694.58</v>
      </c>
      <c r="I12" s="14">
        <v>1341766</v>
      </c>
      <c r="J12" s="14">
        <v>1160381</v>
      </c>
    </row>
    <row r="13" spans="2:10" x14ac:dyDescent="0.25">
      <c r="B13" s="13" t="s">
        <v>25</v>
      </c>
      <c r="C13" s="14">
        <v>878580.96</v>
      </c>
      <c r="D13" s="14">
        <v>2113126.19</v>
      </c>
      <c r="E13" s="14">
        <v>1203488.5</v>
      </c>
      <c r="F13" s="14">
        <v>2464289.65</v>
      </c>
      <c r="G13" s="18">
        <v>1783144.66</v>
      </c>
      <c r="H13" s="14">
        <v>2185159</v>
      </c>
      <c r="I13" s="14">
        <v>2317194</v>
      </c>
      <c r="J13" s="14"/>
    </row>
    <row r="14" spans="2:10" x14ac:dyDescent="0.25">
      <c r="B14" s="13" t="s">
        <v>26</v>
      </c>
      <c r="C14" s="14">
        <v>1647091.19</v>
      </c>
      <c r="D14" s="14">
        <v>1935385.67</v>
      </c>
      <c r="E14" s="14">
        <v>2227598.59</v>
      </c>
      <c r="F14" s="14">
        <v>2341868.62</v>
      </c>
      <c r="G14" s="18">
        <v>1709134.63</v>
      </c>
      <c r="H14" s="14">
        <v>2086062.49</v>
      </c>
      <c r="I14" s="14">
        <v>2050926</v>
      </c>
      <c r="J14" s="14"/>
    </row>
    <row r="15" spans="2:10" x14ac:dyDescent="0.25">
      <c r="B15" s="23" t="s">
        <v>51</v>
      </c>
      <c r="C15" s="32">
        <f>C14-C3</f>
        <v>-38568.420000000158</v>
      </c>
      <c r="D15" s="32">
        <f t="shared" ref="D15:I15" si="0">D14-D3</f>
        <v>332992.27</v>
      </c>
      <c r="E15" s="32">
        <f t="shared" si="0"/>
        <v>357101.43999999994</v>
      </c>
      <c r="F15" s="32">
        <f t="shared" si="0"/>
        <v>193187.62999999989</v>
      </c>
      <c r="G15" s="32">
        <f t="shared" si="0"/>
        <v>-521587.29000000004</v>
      </c>
      <c r="H15" s="32">
        <f t="shared" si="0"/>
        <v>450145.26</v>
      </c>
      <c r="I15" s="32">
        <f t="shared" si="0"/>
        <v>26517</v>
      </c>
      <c r="J15" s="32">
        <f t="shared" ref="J15" si="1">J14-J3</f>
        <v>-1931130</v>
      </c>
    </row>
    <row r="16" spans="2:10" x14ac:dyDescent="0.25">
      <c r="D16" s="24"/>
      <c r="E16" s="24"/>
      <c r="F16" s="24"/>
      <c r="G16" s="24"/>
    </row>
    <row r="28" spans="13:13" x14ac:dyDescent="0.25">
      <c r="M28" s="34" t="s">
        <v>55</v>
      </c>
    </row>
    <row r="29" spans="13:13" x14ac:dyDescent="0.25">
      <c r="M29" s="33" t="s">
        <v>53</v>
      </c>
    </row>
    <row r="30" spans="13:13" x14ac:dyDescent="0.25">
      <c r="M30" s="33" t="s">
        <v>54</v>
      </c>
    </row>
    <row r="46" spans="2:2" x14ac:dyDescent="0.25">
      <c r="B46" s="38" t="s">
        <v>57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54"/>
  <sheetViews>
    <sheetView showGridLines="0" tabSelected="1" topLeftCell="A25" workbookViewId="0">
      <selection activeCell="S40" sqref="S40"/>
    </sheetView>
  </sheetViews>
  <sheetFormatPr defaultRowHeight="15" x14ac:dyDescent="0.25"/>
  <cols>
    <col min="1" max="1" width="3.42578125" customWidth="1"/>
    <col min="2" max="2" width="28.140625" bestFit="1" customWidth="1"/>
    <col min="3" max="9" width="13.5703125" customWidth="1"/>
    <col min="10" max="10" width="4.7109375" customWidth="1"/>
    <col min="11" max="17" width="9.140625" hidden="1" customWidth="1"/>
    <col min="18" max="18" width="0" hidden="1" customWidth="1"/>
    <col min="19" max="20" width="11.5703125" bestFit="1" customWidth="1"/>
    <col min="21" max="21" width="12.5703125" bestFit="1" customWidth="1"/>
    <col min="22" max="22" width="10.7109375" bestFit="1" customWidth="1"/>
    <col min="25" max="25" width="11.5703125" bestFit="1" customWidth="1"/>
    <col min="27" max="27" width="11.5703125" bestFit="1" customWidth="1"/>
    <col min="28" max="28" width="11.5703125" customWidth="1"/>
    <col min="29" max="29" width="11.5703125" bestFit="1" customWidth="1"/>
  </cols>
  <sheetData>
    <row r="1" spans="2:19" x14ac:dyDescent="0.25">
      <c r="L1">
        <v>142036.54</v>
      </c>
      <c r="N1">
        <v>53406.25</v>
      </c>
      <c r="O1">
        <v>37675.75</v>
      </c>
      <c r="Q1">
        <v>13573.25</v>
      </c>
    </row>
    <row r="2" spans="2:19" x14ac:dyDescent="0.25">
      <c r="B2" s="17" t="s">
        <v>43</v>
      </c>
      <c r="C2" s="17">
        <v>2019</v>
      </c>
      <c r="D2" s="17">
        <v>2020</v>
      </c>
      <c r="E2" s="17">
        <v>2021</v>
      </c>
      <c r="F2" s="17">
        <v>2022</v>
      </c>
      <c r="G2" s="17">
        <v>2023</v>
      </c>
      <c r="H2" s="17">
        <v>2024</v>
      </c>
      <c r="I2" s="17">
        <v>2025</v>
      </c>
      <c r="K2" t="s">
        <v>45</v>
      </c>
      <c r="L2">
        <v>11367.47</v>
      </c>
      <c r="M2" t="s">
        <v>47</v>
      </c>
      <c r="N2">
        <v>11951.78</v>
      </c>
      <c r="O2">
        <v>231166.4</v>
      </c>
      <c r="P2" t="s">
        <v>48</v>
      </c>
      <c r="Q2">
        <v>55428.65</v>
      </c>
    </row>
    <row r="3" spans="2:19" x14ac:dyDescent="0.25">
      <c r="B3" s="25" t="s">
        <v>39</v>
      </c>
      <c r="C3" s="20">
        <v>1284518.0699999998</v>
      </c>
      <c r="D3" s="20">
        <v>1287062.81</v>
      </c>
      <c r="E3" s="20">
        <v>1291843.4300000002</v>
      </c>
      <c r="F3" s="20">
        <v>1421014.16</v>
      </c>
      <c r="G3" s="20">
        <f>710722.77+711481.67</f>
        <v>1422204.44</v>
      </c>
      <c r="H3" s="20">
        <f>712583+141+103-141+713732</f>
        <v>1426418</v>
      </c>
      <c r="I3" s="20">
        <f>14895+102+204+714353+329+149+89+90+713602</f>
        <v>1443813</v>
      </c>
      <c r="K3">
        <v>200917.56</v>
      </c>
      <c r="L3">
        <v>60105.07</v>
      </c>
      <c r="M3">
        <v>208291.56</v>
      </c>
      <c r="N3">
        <v>216121.4</v>
      </c>
      <c r="O3">
        <v>38183.25</v>
      </c>
      <c r="P3">
        <v>198992.98</v>
      </c>
      <c r="Q3">
        <v>18746.09</v>
      </c>
      <c r="R3" t="s">
        <v>49</v>
      </c>
    </row>
    <row r="4" spans="2:19" x14ac:dyDescent="0.25">
      <c r="B4" s="26" t="s">
        <v>40</v>
      </c>
      <c r="C4" s="27">
        <v>184301.81</v>
      </c>
      <c r="D4" s="27">
        <v>181744.34</v>
      </c>
      <c r="E4" s="27">
        <v>178685.94</v>
      </c>
      <c r="F4" s="27">
        <v>153874.91</v>
      </c>
      <c r="G4" s="27">
        <v>183978.05</v>
      </c>
      <c r="H4" s="27">
        <f>189846</f>
        <v>189846</v>
      </c>
      <c r="I4" s="27">
        <v>192876</v>
      </c>
      <c r="K4">
        <v>34380.81</v>
      </c>
      <c r="L4">
        <v>259563.5</v>
      </c>
      <c r="M4">
        <v>36004.17</v>
      </c>
      <c r="N4">
        <v>46594.39</v>
      </c>
      <c r="O4">
        <v>14075.25</v>
      </c>
      <c r="P4">
        <v>37259.599999999999</v>
      </c>
      <c r="Q4">
        <v>164858.57</v>
      </c>
      <c r="R4">
        <v>34976.660000000003</v>
      </c>
    </row>
    <row r="5" spans="2:19" x14ac:dyDescent="0.25">
      <c r="B5" s="26" t="s">
        <v>34</v>
      </c>
      <c r="C5" s="27">
        <v>15999.980000000001</v>
      </c>
      <c r="D5" s="27">
        <v>18135.14</v>
      </c>
      <c r="E5" s="27">
        <v>20539.710000000006</v>
      </c>
      <c r="F5" s="27">
        <v>15552.260000000009</v>
      </c>
      <c r="G5" s="27">
        <v>23161.850000000006</v>
      </c>
      <c r="H5" s="27">
        <f>210183-102-189846</f>
        <v>20235</v>
      </c>
      <c r="I5" s="27">
        <v>20360</v>
      </c>
      <c r="K5">
        <v>28468.21</v>
      </c>
      <c r="L5">
        <v>11275.81</v>
      </c>
      <c r="M5">
        <v>170215.4</v>
      </c>
      <c r="N5">
        <v>13669.32</v>
      </c>
      <c r="O5">
        <v>3097.86</v>
      </c>
      <c r="P5">
        <v>164216.79999999999</v>
      </c>
      <c r="Q5">
        <v>164858.57</v>
      </c>
      <c r="R5">
        <v>198959.76</v>
      </c>
    </row>
    <row r="6" spans="2:19" x14ac:dyDescent="0.25">
      <c r="B6" s="26" t="s">
        <v>17</v>
      </c>
      <c r="C6" s="27">
        <v>8162.59</v>
      </c>
      <c r="D6" s="27">
        <v>10534.96</v>
      </c>
      <c r="E6" s="27">
        <v>7785.81</v>
      </c>
      <c r="F6" s="27">
        <v>9140.2800000000007</v>
      </c>
      <c r="G6" s="27">
        <v>10715.19</v>
      </c>
      <c r="H6" s="27">
        <v>11788</v>
      </c>
      <c r="I6" s="27">
        <v>9994</v>
      </c>
      <c r="K6">
        <v>167952.96</v>
      </c>
      <c r="L6">
        <v>58518.67</v>
      </c>
      <c r="M6">
        <v>38912.129999999997</v>
      </c>
      <c r="N6">
        <v>2489.5500000000002</v>
      </c>
      <c r="O6">
        <v>141120.35</v>
      </c>
      <c r="P6">
        <v>33063.949999999997</v>
      </c>
      <c r="Q6">
        <v>206790</v>
      </c>
      <c r="R6">
        <v>183733.21</v>
      </c>
    </row>
    <row r="7" spans="2:19" x14ac:dyDescent="0.25">
      <c r="B7" s="26" t="s">
        <v>18</v>
      </c>
      <c r="C7" s="27">
        <v>8347.49</v>
      </c>
      <c r="D7" s="27">
        <v>6508.01</v>
      </c>
      <c r="E7" s="27">
        <v>8225.1200000000008</v>
      </c>
      <c r="F7" s="27">
        <v>9068.4699999999993</v>
      </c>
      <c r="G7" s="27">
        <f>9927.64-91.86</f>
        <v>9835.7799999999988</v>
      </c>
      <c r="H7" s="27">
        <f>6927--75</f>
        <v>7002</v>
      </c>
      <c r="I7" s="27">
        <v>8306</v>
      </c>
      <c r="K7">
        <v>36044.129999999997</v>
      </c>
      <c r="L7">
        <v>219638.5</v>
      </c>
      <c r="M7">
        <v>99197.24</v>
      </c>
      <c r="N7">
        <v>61175.09</v>
      </c>
      <c r="O7">
        <v>215743.9</v>
      </c>
      <c r="P7">
        <v>105992.62</v>
      </c>
      <c r="Q7">
        <v>54448.35</v>
      </c>
      <c r="R7">
        <v>110922.7</v>
      </c>
    </row>
    <row r="8" spans="2:19" x14ac:dyDescent="0.25">
      <c r="B8" s="26" t="s">
        <v>19</v>
      </c>
      <c r="C8" s="27">
        <v>6965.04</v>
      </c>
      <c r="D8" s="27">
        <v>3788.29</v>
      </c>
      <c r="E8" s="27">
        <v>6257.89</v>
      </c>
      <c r="F8" s="27">
        <v>6271.23</v>
      </c>
      <c r="G8" s="27">
        <f>9645.19-168.97</f>
        <v>9476.2200000000012</v>
      </c>
      <c r="H8" s="27">
        <f>8463</f>
        <v>8463</v>
      </c>
      <c r="I8" s="27">
        <v>4312</v>
      </c>
      <c r="K8">
        <v>99426.44</v>
      </c>
      <c r="L8">
        <v>12158.15</v>
      </c>
      <c r="M8">
        <v>161502.72</v>
      </c>
      <c r="N8">
        <v>139883.64000000001</v>
      </c>
      <c r="O8">
        <v>41074</v>
      </c>
      <c r="P8">
        <v>153415.56</v>
      </c>
      <c r="Q8">
        <v>42.5</v>
      </c>
      <c r="R8">
        <v>159545.60999999999</v>
      </c>
    </row>
    <row r="9" spans="2:19" x14ac:dyDescent="0.25">
      <c r="B9" s="26" t="s">
        <v>20</v>
      </c>
      <c r="C9" s="27">
        <v>7740.07</v>
      </c>
      <c r="D9" s="27">
        <v>3661.33</v>
      </c>
      <c r="E9" s="27">
        <v>8917.8799999999992</v>
      </c>
      <c r="F9" s="27">
        <v>36141.090000000004</v>
      </c>
      <c r="G9" s="27">
        <f>26148.03-108.36-591.55-102.03</f>
        <v>25346.09</v>
      </c>
      <c r="H9" s="27">
        <f>55864-102</f>
        <v>55762</v>
      </c>
      <c r="I9" s="27">
        <v>27295</v>
      </c>
      <c r="K9">
        <v>155560.88</v>
      </c>
      <c r="L9">
        <v>3164.31</v>
      </c>
      <c r="M9">
        <v>29250.86</v>
      </c>
      <c r="N9">
        <v>204418.5</v>
      </c>
      <c r="O9">
        <v>291199</v>
      </c>
      <c r="P9">
        <v>37925.300000000003</v>
      </c>
      <c r="Q9">
        <v>256.7</v>
      </c>
      <c r="R9">
        <v>3035.99</v>
      </c>
    </row>
    <row r="10" spans="2:19" x14ac:dyDescent="0.25">
      <c r="B10" s="26" t="s">
        <v>21</v>
      </c>
      <c r="C10" s="27">
        <v>378199.03</v>
      </c>
      <c r="D10" s="27">
        <v>390382.43</v>
      </c>
      <c r="E10" s="27">
        <v>421360.99</v>
      </c>
      <c r="F10" s="27">
        <v>477111.28</v>
      </c>
      <c r="G10" s="27">
        <f>468482.25-1439.95</f>
        <v>467042.3</v>
      </c>
      <c r="H10" s="27">
        <f>465912-1839</f>
        <v>464073</v>
      </c>
      <c r="I10" s="27">
        <f>459799-3044</f>
        <v>456755</v>
      </c>
      <c r="K10">
        <v>29357.67</v>
      </c>
      <c r="L10">
        <v>57932.58</v>
      </c>
      <c r="M10">
        <v>202036.24</v>
      </c>
      <c r="N10">
        <v>57676</v>
      </c>
      <c r="O10">
        <v>38113.75</v>
      </c>
      <c r="P10">
        <v>204014.42</v>
      </c>
      <c r="Q10">
        <v>271681.40000000002</v>
      </c>
      <c r="R10">
        <v>38379.89</v>
      </c>
    </row>
    <row r="11" spans="2:19" x14ac:dyDescent="0.25">
      <c r="B11" s="26" t="s">
        <v>22</v>
      </c>
      <c r="C11" s="27">
        <v>124480.51</v>
      </c>
      <c r="D11" s="27">
        <v>128093.7</v>
      </c>
      <c r="E11" s="27">
        <v>103718.25</v>
      </c>
      <c r="F11" s="27">
        <v>69729.069999999992</v>
      </c>
      <c r="G11" s="27">
        <f>91156.36-395.19</f>
        <v>90761.17</v>
      </c>
      <c r="H11" s="27">
        <f>85932-1571</f>
        <v>84361</v>
      </c>
      <c r="I11" s="27">
        <f>106876</f>
        <v>106876</v>
      </c>
      <c r="K11">
        <v>211299.66</v>
      </c>
      <c r="L11">
        <v>154691.15</v>
      </c>
      <c r="M11">
        <v>41180.21</v>
      </c>
      <c r="N11">
        <v>270491.2</v>
      </c>
      <c r="O11">
        <v>1299.23</v>
      </c>
      <c r="P11">
        <v>36877.81</v>
      </c>
      <c r="Q11">
        <v>51418.83</v>
      </c>
      <c r="R11">
        <v>197944.12</v>
      </c>
    </row>
    <row r="12" spans="2:19" x14ac:dyDescent="0.25">
      <c r="B12" s="26" t="s">
        <v>30</v>
      </c>
      <c r="C12" s="27">
        <v>18326.86</v>
      </c>
      <c r="D12" s="27">
        <v>52461.46</v>
      </c>
      <c r="E12" s="27">
        <v>54731.99</v>
      </c>
      <c r="F12" s="27">
        <v>58023.7</v>
      </c>
      <c r="G12" s="27">
        <f>50729.01-102.03</f>
        <v>50626.98</v>
      </c>
      <c r="H12" s="27">
        <v>47916</v>
      </c>
      <c r="I12" s="27">
        <v>42426</v>
      </c>
      <c r="K12">
        <v>32795.22</v>
      </c>
      <c r="L12">
        <v>209661</v>
      </c>
      <c r="M12">
        <v>165128.24</v>
      </c>
      <c r="N12">
        <v>55446.59</v>
      </c>
      <c r="O12">
        <v>224533</v>
      </c>
      <c r="P12">
        <v>168160.6</v>
      </c>
      <c r="Q12">
        <v>215769.5</v>
      </c>
      <c r="R12">
        <v>51803.21</v>
      </c>
    </row>
    <row r="13" spans="2:19" x14ac:dyDescent="0.25">
      <c r="B13" s="26" t="s">
        <v>23</v>
      </c>
      <c r="C13" s="27">
        <v>48500.76</v>
      </c>
      <c r="D13" s="27">
        <v>14266.93</v>
      </c>
      <c r="E13" s="27">
        <v>9226.31</v>
      </c>
      <c r="F13" s="27">
        <v>17310.59</v>
      </c>
      <c r="G13" s="27">
        <f>9691.98-89.1</f>
        <v>9602.8799999999992</v>
      </c>
      <c r="H13" s="27">
        <f>5739-393</f>
        <v>5346</v>
      </c>
      <c r="I13" s="27">
        <v>8145</v>
      </c>
      <c r="K13">
        <v>170415.57</v>
      </c>
      <c r="L13">
        <v>59161.45</v>
      </c>
      <c r="M13">
        <v>35976.239999999998</v>
      </c>
      <c r="N13">
        <v>213693.8</v>
      </c>
      <c r="O13">
        <v>53517.99</v>
      </c>
      <c r="P13">
        <v>33231.43</v>
      </c>
      <c r="Q13">
        <v>51134.39</v>
      </c>
      <c r="R13">
        <v>-7328.99</v>
      </c>
    </row>
    <row r="14" spans="2:19" x14ac:dyDescent="0.25">
      <c r="B14" s="26" t="s">
        <v>24</v>
      </c>
      <c r="C14" s="27">
        <v>64242.55</v>
      </c>
      <c r="D14" s="27">
        <v>1558.86</v>
      </c>
      <c r="E14" s="27">
        <v>4318.04</v>
      </c>
      <c r="F14" s="27">
        <v>12805.47</v>
      </c>
      <c r="G14" s="27">
        <f>16672.62-89.1</f>
        <v>16583.52</v>
      </c>
      <c r="H14" s="27">
        <f>49582-89</f>
        <v>49493</v>
      </c>
      <c r="I14" s="27">
        <v>99702</v>
      </c>
      <c r="K14">
        <v>32152.97</v>
      </c>
      <c r="L14">
        <v>283764</v>
      </c>
      <c r="M14">
        <v>31277.3</v>
      </c>
      <c r="N14">
        <v>54952.34</v>
      </c>
      <c r="O14">
        <v>174992.46</v>
      </c>
      <c r="P14">
        <v>116003.32</v>
      </c>
      <c r="Q14">
        <v>171021.17</v>
      </c>
      <c r="R14">
        <v>-12115.75</v>
      </c>
    </row>
    <row r="15" spans="2:19" x14ac:dyDescent="0.25">
      <c r="B15" s="26" t="s">
        <v>25</v>
      </c>
      <c r="C15" s="27">
        <v>372178.21</v>
      </c>
      <c r="D15" s="27">
        <v>321878.14</v>
      </c>
      <c r="E15" s="27">
        <v>380902.87</v>
      </c>
      <c r="F15" s="27">
        <v>463431.03</v>
      </c>
      <c r="G15" s="27">
        <f>431104.57-163.63</f>
        <v>430940.94</v>
      </c>
      <c r="H15" s="27">
        <f>411827-934</f>
        <v>410893</v>
      </c>
      <c r="I15" s="27"/>
      <c r="K15">
        <v>104335.55</v>
      </c>
      <c r="L15">
        <v>217883.5</v>
      </c>
      <c r="M15">
        <v>97609.5</v>
      </c>
      <c r="N15">
        <v>150842.5</v>
      </c>
      <c r="O15">
        <v>202849.4</v>
      </c>
      <c r="P15">
        <v>157797.14000000001</v>
      </c>
      <c r="Q15">
        <v>194291.6</v>
      </c>
      <c r="R15" s="31">
        <v>1762.99</v>
      </c>
      <c r="S15" s="31"/>
    </row>
    <row r="16" spans="2:19" x14ac:dyDescent="0.25">
      <c r="B16" s="26" t="s">
        <v>26</v>
      </c>
      <c r="C16" s="27">
        <v>43311.17</v>
      </c>
      <c r="D16" s="27">
        <v>164343.64000000001</v>
      </c>
      <c r="E16" s="27">
        <v>114176.06</v>
      </c>
      <c r="F16" s="27">
        <v>72873.38</v>
      </c>
      <c r="G16" s="27">
        <f>91877-15645</f>
        <v>76232</v>
      </c>
      <c r="H16" s="27">
        <f>100309.5-265.66</f>
        <v>100043.84</v>
      </c>
      <c r="I16" s="27"/>
      <c r="K16">
        <v>157337.64000000001</v>
      </c>
      <c r="L16">
        <v>60133.75</v>
      </c>
      <c r="M16">
        <v>156797.32</v>
      </c>
      <c r="N16">
        <v>195610.8</v>
      </c>
      <c r="P16">
        <v>32525.17</v>
      </c>
      <c r="Q16">
        <v>50585</v>
      </c>
      <c r="R16" s="31">
        <v>164438.12</v>
      </c>
      <c r="S16" s="31"/>
    </row>
    <row r="17" spans="2:30" x14ac:dyDescent="0.25">
      <c r="B17" s="5" t="s">
        <v>41</v>
      </c>
      <c r="C17" s="16">
        <f t="shared" ref="C17:F17" si="0">SUM(C4:C16)</f>
        <v>1280756.07</v>
      </c>
      <c r="D17" s="16">
        <f t="shared" si="0"/>
        <v>1297357.23</v>
      </c>
      <c r="E17" s="16">
        <f t="shared" si="0"/>
        <v>1318846.8600000003</v>
      </c>
      <c r="F17" s="16">
        <f t="shared" si="0"/>
        <v>1401332.7599999998</v>
      </c>
      <c r="G17" s="16">
        <f>SUM(G4:G16)</f>
        <v>1404302.97</v>
      </c>
      <c r="H17" s="16">
        <f>SUM(H4:H16)</f>
        <v>1455221.84</v>
      </c>
      <c r="I17" s="16">
        <f>SUM(I4:I16)</f>
        <v>977047</v>
      </c>
      <c r="K17">
        <v>9300.4599999999991</v>
      </c>
      <c r="L17">
        <v>45304.95</v>
      </c>
      <c r="M17">
        <v>9197.82</v>
      </c>
      <c r="P17">
        <v>9555.9500000000007</v>
      </c>
      <c r="R17" s="31">
        <v>28448.19</v>
      </c>
      <c r="S17" s="31"/>
    </row>
    <row r="18" spans="2:30" x14ac:dyDescent="0.25">
      <c r="B18" s="28" t="s">
        <v>46</v>
      </c>
      <c r="C18" s="29">
        <f t="shared" ref="C18:D18" si="1">C17/C3</f>
        <v>0.9970712751436811</v>
      </c>
      <c r="D18" s="29">
        <f t="shared" si="1"/>
        <v>1.0079983819903862</v>
      </c>
      <c r="E18" s="29">
        <f>E17/E3</f>
        <v>1.0209030207321643</v>
      </c>
      <c r="F18" s="29">
        <f>F17/F3</f>
        <v>0.98614975096377633</v>
      </c>
      <c r="G18" s="29">
        <f>G17/G3</f>
        <v>0.98741287152780932</v>
      </c>
      <c r="H18" s="29">
        <f>H17/H3</f>
        <v>1.0201931271198206</v>
      </c>
      <c r="I18" s="29">
        <f>I17/I3</f>
        <v>0.67671298152877135</v>
      </c>
      <c r="K18">
        <v>33532.019999999997</v>
      </c>
      <c r="L18">
        <v>156672.63</v>
      </c>
      <c r="M18">
        <v>34205.85</v>
      </c>
      <c r="P18">
        <v>214685.22</v>
      </c>
      <c r="R18" s="31">
        <v>-14712.41</v>
      </c>
      <c r="S18" s="31"/>
    </row>
    <row r="19" spans="2:30" x14ac:dyDescent="0.25">
      <c r="K19">
        <v>216228.18</v>
      </c>
      <c r="L19">
        <v>194657</v>
      </c>
      <c r="M19">
        <v>211356.44</v>
      </c>
      <c r="P19">
        <v>34483.81</v>
      </c>
      <c r="R19">
        <v>31370.49</v>
      </c>
    </row>
    <row r="20" spans="2:30" x14ac:dyDescent="0.25">
      <c r="B20" s="17" t="s">
        <v>42</v>
      </c>
      <c r="C20" s="17">
        <v>2019</v>
      </c>
      <c r="D20" s="17">
        <v>2020</v>
      </c>
      <c r="E20" s="17">
        <v>2021</v>
      </c>
      <c r="F20" s="17">
        <v>2022</v>
      </c>
      <c r="G20" s="17">
        <v>2023</v>
      </c>
      <c r="H20" s="17">
        <v>2024</v>
      </c>
      <c r="I20" s="17">
        <v>2025</v>
      </c>
      <c r="K20">
        <v>9135.92</v>
      </c>
      <c r="M20">
        <v>9673.1200000000008</v>
      </c>
      <c r="P20">
        <v>9630.2800000000007</v>
      </c>
      <c r="R20">
        <v>266770.38</v>
      </c>
    </row>
    <row r="21" spans="2:30" x14ac:dyDescent="0.25">
      <c r="B21" s="25" t="s">
        <v>39</v>
      </c>
      <c r="C21" s="20">
        <v>4161614.8000000003</v>
      </c>
      <c r="D21" s="20">
        <v>3880757.46</v>
      </c>
      <c r="E21" s="20">
        <v>3886450.5299999993</v>
      </c>
      <c r="F21" s="20">
        <v>3944599.0800000005</v>
      </c>
      <c r="G21" s="20">
        <f>297491.56+252660.41+47084.46+141828.98+192462+51740.76+257212.38+208762.38+49341.35+286393.8+318791.35+269207.7+153936.46+207709.23+52460.86+270375.99+48933.53+219559.08+47940.95+169182+197989</f>
        <v>3741064.23</v>
      </c>
      <c r="H21" s="20">
        <f>45905.93+257084.37+42037+214529+514+50768+145736+196012+254806+47288+47976+217739+1102+54513+155157+194627+65106+261321+53812+224182+58805+157924+211161+190+60657+277405+46689+220742+51523+159896+201031</f>
        <v>3976238.3</v>
      </c>
      <c r="I21" s="20">
        <f>78+46237+257969+60046+218802+49666+155828+199738+269533+22351+49349+52381+237060+228+178+52131+161814+214622+131346+72+1815+2742+61+56362+270673+64+13258+56+54418+165347+222679+98+79+212+65+55676+234217+95+46+13289+6016+1036+351985</f>
        <v>3629718</v>
      </c>
      <c r="K21">
        <v>34265.620000000003</v>
      </c>
      <c r="M21">
        <v>174479.2</v>
      </c>
      <c r="P21">
        <v>185280.72</v>
      </c>
      <c r="R21">
        <v>8995.67</v>
      </c>
      <c r="U21" s="4"/>
    </row>
    <row r="22" spans="2:30" x14ac:dyDescent="0.25">
      <c r="B22" s="26" t="s">
        <v>40</v>
      </c>
      <c r="C22" s="27">
        <v>415386.79</v>
      </c>
      <c r="D22" s="27">
        <v>404903.49</v>
      </c>
      <c r="E22" s="27">
        <v>380852.99</v>
      </c>
      <c r="F22" s="27">
        <v>318684.38</v>
      </c>
      <c r="G22" s="27">
        <v>346763.81</v>
      </c>
      <c r="H22" s="27">
        <v>367987</v>
      </c>
      <c r="I22" s="27">
        <v>420620</v>
      </c>
      <c r="K22">
        <v>179660.09</v>
      </c>
      <c r="M22">
        <v>28685.84</v>
      </c>
      <c r="P22">
        <v>38429.14</v>
      </c>
      <c r="R22">
        <v>205142.92</v>
      </c>
    </row>
    <row r="23" spans="2:30" x14ac:dyDescent="0.25">
      <c r="B23" s="26" t="s">
        <v>34</v>
      </c>
      <c r="C23" s="27">
        <v>330683.49</v>
      </c>
      <c r="D23" s="30">
        <v>329735.05</v>
      </c>
      <c r="E23" s="27">
        <v>297420.25000000006</v>
      </c>
      <c r="F23" s="27">
        <v>318295.74</v>
      </c>
      <c r="G23" s="27">
        <v>313279.91999999993</v>
      </c>
      <c r="H23" s="27">
        <f>704263-(367987)-(304218-302990)</f>
        <v>335048</v>
      </c>
      <c r="I23" s="27">
        <f>760929-420620</f>
        <v>340309</v>
      </c>
      <c r="K23">
        <v>9988.17</v>
      </c>
      <c r="M23">
        <v>11099.13</v>
      </c>
      <c r="P23">
        <v>11320.9</v>
      </c>
      <c r="R23">
        <v>26072.68</v>
      </c>
    </row>
    <row r="24" spans="2:30" x14ac:dyDescent="0.25">
      <c r="B24" s="26" t="s">
        <v>17</v>
      </c>
      <c r="C24" s="27">
        <v>202471.69000000003</v>
      </c>
      <c r="D24" s="27">
        <v>228211.97000000003</v>
      </c>
      <c r="E24" s="27">
        <v>230955.3</v>
      </c>
      <c r="F24" s="27">
        <v>163745.33000000005</v>
      </c>
      <c r="G24" s="27">
        <v>200156.02000000002</v>
      </c>
      <c r="H24" s="27">
        <f>215807-668</f>
        <v>215139</v>
      </c>
      <c r="I24" s="27">
        <f>194614</f>
        <v>194614</v>
      </c>
      <c r="K24">
        <v>2390.61</v>
      </c>
      <c r="M24">
        <v>1898.85</v>
      </c>
      <c r="P24">
        <v>2292.83</v>
      </c>
      <c r="R24">
        <v>10413.06</v>
      </c>
    </row>
    <row r="25" spans="2:30" x14ac:dyDescent="0.25">
      <c r="B25" s="26" t="s">
        <v>18</v>
      </c>
      <c r="C25" s="27">
        <v>313670.38</v>
      </c>
      <c r="D25" s="27">
        <v>270112.50999999995</v>
      </c>
      <c r="E25" s="27">
        <v>323663.83000000007</v>
      </c>
      <c r="F25" s="27">
        <v>424314.41999999993</v>
      </c>
      <c r="G25" s="27">
        <f>361118.7-165.5</f>
        <v>360953.2</v>
      </c>
      <c r="H25" s="27">
        <f>324658-3391</f>
        <v>321267</v>
      </c>
      <c r="I25" s="27">
        <v>422521</v>
      </c>
      <c r="K25">
        <v>31493.77</v>
      </c>
      <c r="M25">
        <v>34458.58</v>
      </c>
      <c r="P25">
        <v>101798.55</v>
      </c>
      <c r="R25">
        <v>166293.82</v>
      </c>
    </row>
    <row r="26" spans="2:30" x14ac:dyDescent="0.25">
      <c r="B26" s="26" t="s">
        <v>19</v>
      </c>
      <c r="C26" s="27">
        <v>405969.78999999992</v>
      </c>
      <c r="D26" s="27">
        <v>277799.81000000006</v>
      </c>
      <c r="E26" s="27">
        <v>333734.43999999994</v>
      </c>
      <c r="F26" s="27">
        <v>240339.65</v>
      </c>
      <c r="G26" s="27">
        <f>263494.93-(313346.48-308953.1)</f>
        <v>259101.55</v>
      </c>
      <c r="H26" s="27">
        <f>309435-510</f>
        <v>308925</v>
      </c>
      <c r="I26" s="27">
        <v>294946</v>
      </c>
      <c r="K26">
        <v>112281.09</v>
      </c>
      <c r="M26">
        <v>100978.6</v>
      </c>
      <c r="P26">
        <v>174137.66</v>
      </c>
      <c r="R26">
        <v>37878.160000000003</v>
      </c>
    </row>
    <row r="27" spans="2:30" x14ac:dyDescent="0.25">
      <c r="B27" s="26" t="s">
        <v>20</v>
      </c>
      <c r="C27" s="27">
        <v>235353.22000000003</v>
      </c>
      <c r="D27" s="27">
        <v>290943.89</v>
      </c>
      <c r="E27" s="27">
        <v>245198.63999999996</v>
      </c>
      <c r="F27" s="27">
        <v>266136.35000000003</v>
      </c>
      <c r="G27" s="27">
        <v>283358.59999999998</v>
      </c>
      <c r="H27" s="27">
        <f>253479-1192</f>
        <v>252287</v>
      </c>
      <c r="I27" s="27">
        <v>271061</v>
      </c>
      <c r="K27">
        <v>172489.28</v>
      </c>
      <c r="M27">
        <v>166086.44</v>
      </c>
      <c r="P27">
        <v>62134.86</v>
      </c>
      <c r="R27">
        <v>14367.72</v>
      </c>
      <c r="S27">
        <v>2023</v>
      </c>
      <c r="T27">
        <v>2024</v>
      </c>
      <c r="U27">
        <v>2025</v>
      </c>
      <c r="Y27">
        <v>2023</v>
      </c>
      <c r="AA27">
        <v>2024</v>
      </c>
      <c r="AC27">
        <v>2025</v>
      </c>
    </row>
    <row r="28" spans="2:30" x14ac:dyDescent="0.25">
      <c r="B28" s="26" t="s">
        <v>21</v>
      </c>
      <c r="C28" s="27">
        <v>283694.14000000007</v>
      </c>
      <c r="D28" s="27">
        <v>403618.17000000004</v>
      </c>
      <c r="E28" s="27">
        <v>362377.55999999994</v>
      </c>
      <c r="F28" s="27">
        <v>376111.01999999996</v>
      </c>
      <c r="G28" s="27">
        <f>347895.04-(400069.79-286393.8)</f>
        <v>234219.05</v>
      </c>
      <c r="H28" s="27">
        <f>360399-13913</f>
        <v>346486</v>
      </c>
      <c r="I28" s="27">
        <f>371787</f>
        <v>371787</v>
      </c>
      <c r="K28">
        <v>34281.67</v>
      </c>
      <c r="M28">
        <v>35250.83</v>
      </c>
      <c r="P28">
        <v>2708.5</v>
      </c>
      <c r="R28">
        <v>115648.9</v>
      </c>
      <c r="S28" s="24">
        <f t="shared" ref="S28:U29" si="2">SUM(G22:G28)</f>
        <v>1997832.1500000001</v>
      </c>
      <c r="T28" s="24">
        <f t="shared" si="2"/>
        <v>2147139</v>
      </c>
      <c r="U28" s="24">
        <f t="shared" si="2"/>
        <v>2315858</v>
      </c>
      <c r="V28" s="24">
        <f>U28-T28</f>
        <v>168719</v>
      </c>
      <c r="W28" s="42">
        <f>V28/T28</f>
        <v>7.8578517739186893E-2</v>
      </c>
      <c r="Y28" s="24">
        <v>3982096</v>
      </c>
      <c r="Z28" s="41">
        <f>S28/Y28</f>
        <v>0.50170366309601777</v>
      </c>
      <c r="AA28" s="24">
        <v>4007021</v>
      </c>
      <c r="AB28" s="41">
        <f>T28/AA28</f>
        <v>0.53584420945136046</v>
      </c>
      <c r="AC28" s="24">
        <v>4069730</v>
      </c>
      <c r="AD28" s="41">
        <f>U28/AC28</f>
        <v>0.56904462949630563</v>
      </c>
    </row>
    <row r="29" spans="2:30" x14ac:dyDescent="0.25">
      <c r="B29" s="26" t="s">
        <v>22</v>
      </c>
      <c r="C29" s="27">
        <v>392559.48000000004</v>
      </c>
      <c r="D29" s="27">
        <v>321564.02999999991</v>
      </c>
      <c r="E29" s="27">
        <v>327043.28999999992</v>
      </c>
      <c r="F29" s="27">
        <v>276723.20000000001</v>
      </c>
      <c r="G29" s="27">
        <f>319803.27-58.27-76.22</f>
        <v>319668.78000000003</v>
      </c>
      <c r="H29" s="27">
        <f>333879-6290</f>
        <v>327589</v>
      </c>
      <c r="I29" s="27">
        <v>352755</v>
      </c>
      <c r="K29">
        <v>233889.99</v>
      </c>
      <c r="M29">
        <v>221144.95999999999</v>
      </c>
      <c r="P29">
        <v>236210.74</v>
      </c>
      <c r="R29">
        <v>115648.9</v>
      </c>
      <c r="S29" s="24">
        <f t="shared" si="2"/>
        <v>1970737.12</v>
      </c>
      <c r="T29" s="24">
        <f t="shared" si="2"/>
        <v>2106741</v>
      </c>
      <c r="U29" s="24">
        <f t="shared" si="2"/>
        <v>2247993</v>
      </c>
      <c r="V29" s="24">
        <f>U29-T29</f>
        <v>141252</v>
      </c>
      <c r="W29" s="42">
        <f>V29/T29</f>
        <v>6.7047634236956519E-2</v>
      </c>
      <c r="Y29" s="24">
        <v>3982097</v>
      </c>
      <c r="Z29" s="41">
        <f>S29/Y29</f>
        <v>0.4948993256568085</v>
      </c>
      <c r="AA29" s="24">
        <v>4007022</v>
      </c>
      <c r="AB29" s="41">
        <f>T29/AA29</f>
        <v>0.52576227432741818</v>
      </c>
      <c r="AC29" s="24">
        <v>4069731</v>
      </c>
      <c r="AD29" s="41">
        <f>U29/AC29</f>
        <v>0.55236894035502593</v>
      </c>
    </row>
    <row r="30" spans="2:30" x14ac:dyDescent="0.25">
      <c r="B30" s="26" t="s">
        <v>30</v>
      </c>
      <c r="C30" s="27">
        <v>382127.20999999996</v>
      </c>
      <c r="D30" s="27">
        <v>267198.98999999993</v>
      </c>
      <c r="E30" s="27">
        <v>255964.43999999997</v>
      </c>
      <c r="F30" s="27">
        <v>297740.17</v>
      </c>
      <c r="G30" s="27">
        <f>255052.2-(284452.18-269207.7)</f>
        <v>239807.72000000003</v>
      </c>
      <c r="H30" s="27">
        <v>255443</v>
      </c>
      <c r="I30" s="27">
        <v>259742</v>
      </c>
      <c r="K30">
        <v>178112.48</v>
      </c>
      <c r="M30">
        <v>39735.64</v>
      </c>
      <c r="P30">
        <v>14220.53</v>
      </c>
      <c r="R30">
        <v>163764.84</v>
      </c>
    </row>
    <row r="31" spans="2:30" x14ac:dyDescent="0.25">
      <c r="B31" s="26" t="s">
        <v>23</v>
      </c>
      <c r="C31" s="27">
        <v>300069.95</v>
      </c>
      <c r="D31" s="27">
        <v>318427.70000000007</v>
      </c>
      <c r="E31" s="27">
        <v>352956.67</v>
      </c>
      <c r="F31" s="27">
        <v>386129.45</v>
      </c>
      <c r="G31" s="27">
        <f>290027.5-(414614.69-414106.6)</f>
        <v>289519.40999999997</v>
      </c>
      <c r="H31" s="27">
        <f>338338-168-687</f>
        <v>337483</v>
      </c>
      <c r="I31" s="27">
        <v>376319</v>
      </c>
      <c r="K31">
        <v>44981.67</v>
      </c>
      <c r="M31">
        <v>172807</v>
      </c>
      <c r="P31">
        <v>1516.61</v>
      </c>
      <c r="R31">
        <v>38933.75</v>
      </c>
      <c r="S31" s="24">
        <f>SUM(G23:G31)</f>
        <v>2500064.2500000005</v>
      </c>
      <c r="T31" s="24">
        <f>SUM(H23:H31)</f>
        <v>2699667</v>
      </c>
      <c r="U31" s="24">
        <f>SUM(I23:I31)</f>
        <v>2884054</v>
      </c>
      <c r="V31" s="24">
        <f>U31-T31</f>
        <v>184387</v>
      </c>
      <c r="W31" s="42">
        <f>V31/T31</f>
        <v>6.8299905136448305E-2</v>
      </c>
      <c r="Y31" s="24">
        <v>3982097</v>
      </c>
      <c r="Z31" s="41">
        <f>S31/Y31</f>
        <v>0.62782605496551203</v>
      </c>
      <c r="AA31" s="24">
        <v>4007022</v>
      </c>
      <c r="AB31" s="41">
        <f>T31/AA31</f>
        <v>0.67373400994554056</v>
      </c>
      <c r="AC31" s="24">
        <v>4069731</v>
      </c>
      <c r="AD31" s="41">
        <f>U31/AC31</f>
        <v>0.70865961411208755</v>
      </c>
    </row>
    <row r="32" spans="2:30" x14ac:dyDescent="0.25">
      <c r="B32" s="26" t="s">
        <v>24</v>
      </c>
      <c r="C32" s="27">
        <v>362556.18</v>
      </c>
      <c r="D32" s="27">
        <v>418429.89</v>
      </c>
      <c r="E32" s="27">
        <v>312648.56</v>
      </c>
      <c r="F32" s="27">
        <v>300306.92000000004</v>
      </c>
      <c r="G32" s="27">
        <f>332470.66-114.75-129.54-93.33-108.12</f>
        <v>332024.92</v>
      </c>
      <c r="H32" s="27">
        <f>335535-272-52-73-55</f>
        <v>335083</v>
      </c>
      <c r="I32" s="27">
        <v>326279</v>
      </c>
      <c r="K32">
        <v>23916.32</v>
      </c>
      <c r="M32">
        <v>33928.559999999998</v>
      </c>
      <c r="P32">
        <v>180680.32000000001</v>
      </c>
      <c r="R32">
        <v>39.380000000000003</v>
      </c>
      <c r="S32" s="24">
        <f>SUM(G23:G32)</f>
        <v>2832089.1700000004</v>
      </c>
      <c r="T32" s="24">
        <f>SUM(H23:H32)</f>
        <v>3034750</v>
      </c>
      <c r="U32" s="24">
        <f>SUM(I23:I32)</f>
        <v>3210333</v>
      </c>
      <c r="V32" s="24">
        <f>U32-T32</f>
        <v>175583</v>
      </c>
      <c r="W32" s="42">
        <f>V32/T32</f>
        <v>5.7857484142021583E-2</v>
      </c>
      <c r="Y32" s="24">
        <v>3982098</v>
      </c>
      <c r="Z32" s="41">
        <f>S32/Y32</f>
        <v>0.71120529178337655</v>
      </c>
      <c r="AA32" s="24">
        <v>4007023</v>
      </c>
      <c r="AB32" s="41">
        <f>T32/AA32</f>
        <v>0.75735776909690811</v>
      </c>
      <c r="AC32" s="24">
        <v>4069732</v>
      </c>
      <c r="AD32" s="41">
        <f>U32/AC32</f>
        <v>0.78883154959589474</v>
      </c>
    </row>
    <row r="33" spans="2:30" x14ac:dyDescent="0.25">
      <c r="B33" s="26" t="s">
        <v>25</v>
      </c>
      <c r="C33" s="27">
        <v>202380.93000000002</v>
      </c>
      <c r="D33" s="27">
        <v>213796.55</v>
      </c>
      <c r="E33" s="27">
        <v>256801.71</v>
      </c>
      <c r="F33" s="27">
        <v>244854.16</v>
      </c>
      <c r="G33" s="27">
        <f>226573.22+(267500-268701.59)</f>
        <v>225371.62999999998</v>
      </c>
      <c r="H33" s="27">
        <f>207409-3854</f>
        <v>203555</v>
      </c>
      <c r="I33" s="27"/>
      <c r="K33">
        <v>113996.48</v>
      </c>
      <c r="M33">
        <v>108653.04</v>
      </c>
      <c r="P33">
        <v>27666.14</v>
      </c>
      <c r="R33">
        <v>191.84</v>
      </c>
      <c r="AD33" s="43"/>
    </row>
    <row r="34" spans="2:30" x14ac:dyDescent="0.25">
      <c r="B34" s="26" t="s">
        <v>26</v>
      </c>
      <c r="C34" s="27">
        <v>308880.73000000004</v>
      </c>
      <c r="D34" s="27">
        <v>318419.05999999994</v>
      </c>
      <c r="E34" s="27">
        <v>347116.35</v>
      </c>
      <c r="F34" s="27">
        <v>331692.23</v>
      </c>
      <c r="G34" s="27">
        <f>318702+(410781-413991)</f>
        <v>315492</v>
      </c>
      <c r="H34" s="27">
        <f>339056-270.98-88-81-125</f>
        <v>338491.02</v>
      </c>
      <c r="I34" s="27"/>
      <c r="K34">
        <v>161570.87</v>
      </c>
      <c r="M34">
        <v>159755.20000000001</v>
      </c>
      <c r="P34">
        <v>125547.14</v>
      </c>
      <c r="R34">
        <v>216554.8</v>
      </c>
    </row>
    <row r="35" spans="2:30" x14ac:dyDescent="0.25">
      <c r="B35" s="5" t="s">
        <v>41</v>
      </c>
      <c r="C35" s="16">
        <f t="shared" ref="C35:E35" si="3">SUM(C22:C34)</f>
        <v>4135803.9800000004</v>
      </c>
      <c r="D35" s="16">
        <f t="shared" si="3"/>
        <v>4063161.11</v>
      </c>
      <c r="E35" s="16">
        <f t="shared" si="3"/>
        <v>4026734.03</v>
      </c>
      <c r="F35" s="16">
        <f>SUM(F22:F34)</f>
        <v>3945073.0200000005</v>
      </c>
      <c r="G35" s="16">
        <f>SUM(G22:G34)</f>
        <v>3719716.6100000003</v>
      </c>
      <c r="H35" s="16">
        <f>SUM(H22:H34)</f>
        <v>3944783.02</v>
      </c>
      <c r="I35" s="16">
        <f>SUM(I22:I34)</f>
        <v>3630953</v>
      </c>
      <c r="P35">
        <v>165065.16</v>
      </c>
      <c r="R35">
        <v>48262</v>
      </c>
    </row>
    <row r="36" spans="2:30" x14ac:dyDescent="0.25">
      <c r="B36" s="28" t="s">
        <v>46</v>
      </c>
      <c r="C36" s="29">
        <f t="shared" ref="C36" si="4">C35/C21</f>
        <v>0.99379788345620079</v>
      </c>
      <c r="D36" s="29">
        <f t="shared" ref="D36:I36" si="5">D35/D21</f>
        <v>1.0470020741775499</v>
      </c>
      <c r="E36" s="29">
        <f t="shared" si="5"/>
        <v>1.0360955321358485</v>
      </c>
      <c r="F36" s="29">
        <f t="shared" si="5"/>
        <v>1.0001201490925664</v>
      </c>
      <c r="G36" s="29">
        <f t="shared" si="5"/>
        <v>0.99429370396027661</v>
      </c>
      <c r="H36" s="29">
        <f t="shared" si="5"/>
        <v>0.99208918640515087</v>
      </c>
      <c r="I36" s="29">
        <f t="shared" si="5"/>
        <v>1.0003402468180724</v>
      </c>
      <c r="R36">
        <v>170023.04000000001</v>
      </c>
    </row>
    <row r="37" spans="2:30" x14ac:dyDescent="0.25">
      <c r="R37">
        <v>38278.79</v>
      </c>
    </row>
    <row r="38" spans="2:30" x14ac:dyDescent="0.25">
      <c r="B38" s="17" t="s">
        <v>44</v>
      </c>
      <c r="C38" s="17">
        <v>2019</v>
      </c>
      <c r="D38" s="17">
        <v>2020</v>
      </c>
      <c r="E38" s="17">
        <v>2021</v>
      </c>
      <c r="F38" s="17">
        <v>2022</v>
      </c>
      <c r="G38" s="17">
        <v>2023</v>
      </c>
      <c r="H38" s="17">
        <v>2024</v>
      </c>
      <c r="I38" s="17">
        <v>2025</v>
      </c>
      <c r="R38">
        <v>120120.52</v>
      </c>
    </row>
    <row r="39" spans="2:30" x14ac:dyDescent="0.25">
      <c r="B39" s="25" t="s">
        <v>39</v>
      </c>
      <c r="C39" s="20">
        <v>3127857.129999999</v>
      </c>
      <c r="D39" s="20">
        <v>3076841.7600000002</v>
      </c>
      <c r="E39" s="20">
        <v>3026774.2300000009</v>
      </c>
      <c r="F39" s="20">
        <v>3061959.9599999995</v>
      </c>
      <c r="G39" s="20">
        <f>253791.82+211007.63+37419.62+103859.21+160076.15+41806.49+215043.79+172481.2+39151.89+327245.38+262581.16+221660+111572+171122.57+49674.8+224649.43+36840.75+179744.6+29285.8+122892+164492+34090</f>
        <v>3170488.2899999996</v>
      </c>
      <c r="H39" s="20">
        <f>32459+214957+30045+176115+35477+107057+162845+213811+36077+37333+178854+16396+113403+162260+10203+45433+218516+35852+182975+45665+114794+174271+158+38008+230232+31676+180985+34324+116749+166764</f>
        <v>3143694</v>
      </c>
      <c r="I39" s="20">
        <f>64+40661+216059+45743+180012+34483+114334+165862+1327+225280+15185+35381+194028+164+174+2551+31861+119080+177275+109285+63+1458+2041+269664+45+34351+120800+182880+83+69+177+58+33998+191318+80+45+10867+4400+777+280463</f>
        <v>2842446</v>
      </c>
      <c r="R39">
        <v>155141.9</v>
      </c>
    </row>
    <row r="40" spans="2:30" x14ac:dyDescent="0.25">
      <c r="B40" s="26" t="s">
        <v>40</v>
      </c>
      <c r="C40" s="27">
        <v>315856.19</v>
      </c>
      <c r="D40" s="27">
        <v>316625.34000000003</v>
      </c>
      <c r="E40" s="27">
        <v>307234.46999999997</v>
      </c>
      <c r="F40" s="27">
        <v>261484.14</v>
      </c>
      <c r="G40" s="27">
        <v>285142.92</v>
      </c>
      <c r="H40" s="27">
        <v>304888.78000000003</v>
      </c>
      <c r="I40" s="27">
        <v>344117</v>
      </c>
      <c r="R40">
        <v>38150.269999999997</v>
      </c>
    </row>
    <row r="41" spans="2:30" x14ac:dyDescent="0.25">
      <c r="B41" s="26" t="s">
        <v>34</v>
      </c>
      <c r="C41" s="27">
        <v>235573.64999999994</v>
      </c>
      <c r="D41" s="27">
        <v>257774.76</v>
      </c>
      <c r="E41" s="27">
        <v>223532.92</v>
      </c>
      <c r="F41" s="27">
        <v>250069.36</v>
      </c>
      <c r="G41" s="27">
        <v>262384.12</v>
      </c>
      <c r="H41" s="27">
        <f>269824-797</f>
        <v>269027</v>
      </c>
      <c r="I41" s="27">
        <f>620964-344117</f>
        <v>276847</v>
      </c>
    </row>
    <row r="42" spans="2:30" x14ac:dyDescent="0.25">
      <c r="B42" s="26" t="s">
        <v>17</v>
      </c>
      <c r="C42" s="27">
        <v>157196.34000000003</v>
      </c>
      <c r="D42" s="27">
        <v>175208.67999999996</v>
      </c>
      <c r="E42" s="27">
        <v>187249.61999999997</v>
      </c>
      <c r="F42" s="27">
        <v>130757.82</v>
      </c>
      <c r="G42" s="27">
        <v>163600.59</v>
      </c>
      <c r="H42" s="27">
        <f>172018-150-55-63-76-61-76</f>
        <v>171537</v>
      </c>
      <c r="I42" s="27">
        <v>162315</v>
      </c>
    </row>
    <row r="43" spans="2:30" x14ac:dyDescent="0.25">
      <c r="B43" s="26" t="s">
        <v>18</v>
      </c>
      <c r="C43" s="27">
        <v>236369.41</v>
      </c>
      <c r="D43" s="27">
        <v>211221.84</v>
      </c>
      <c r="E43" s="27">
        <v>258728.82</v>
      </c>
      <c r="F43" s="27">
        <v>321413.9800000001</v>
      </c>
      <c r="G43" s="27">
        <f>279519.17-141.79</f>
        <v>279377.38</v>
      </c>
      <c r="H43" s="27">
        <f>253894-2907</f>
        <v>250987</v>
      </c>
      <c r="I43" s="27">
        <v>323989</v>
      </c>
    </row>
    <row r="44" spans="2:30" x14ac:dyDescent="0.25">
      <c r="B44" s="26" t="s">
        <v>19</v>
      </c>
      <c r="C44" s="27">
        <v>297014.71000000002</v>
      </c>
      <c r="D44" s="27">
        <v>219014.65000000002</v>
      </c>
      <c r="E44" s="27">
        <v>256338.09999999998</v>
      </c>
      <c r="F44" s="27">
        <v>189839.49</v>
      </c>
      <c r="G44" s="27">
        <f>210304.91-3032.68-275.16-117.8-78.8-138.29</f>
        <v>206662.18000000002</v>
      </c>
      <c r="H44" s="27">
        <f>251356-412</f>
        <v>250944</v>
      </c>
      <c r="I44" s="27">
        <f>238125</f>
        <v>238125</v>
      </c>
    </row>
    <row r="45" spans="2:30" x14ac:dyDescent="0.25">
      <c r="B45" s="26" t="s">
        <v>20</v>
      </c>
      <c r="C45" s="27">
        <v>167656.66</v>
      </c>
      <c r="D45" s="27">
        <v>223524.76</v>
      </c>
      <c r="E45" s="27">
        <v>192730.75999999998</v>
      </c>
      <c r="F45" s="27">
        <v>208555.66999999998</v>
      </c>
      <c r="G45" s="27">
        <v>226394.05</v>
      </c>
      <c r="H45" s="27">
        <f>206872-112-686</f>
        <v>206074</v>
      </c>
      <c r="I45" s="27">
        <v>213838</v>
      </c>
      <c r="S45">
        <v>2023</v>
      </c>
      <c r="T45">
        <v>2024</v>
      </c>
      <c r="U45">
        <v>2025</v>
      </c>
      <c r="Y45">
        <v>2023</v>
      </c>
      <c r="AA45">
        <v>2024</v>
      </c>
      <c r="AC45">
        <v>2025</v>
      </c>
    </row>
    <row r="46" spans="2:30" x14ac:dyDescent="0.25">
      <c r="B46" s="26" t="s">
        <v>21</v>
      </c>
      <c r="C46" s="27">
        <v>190545.38</v>
      </c>
      <c r="D46" s="27">
        <v>289258.55</v>
      </c>
      <c r="E46" s="27">
        <v>276510.67999999993</v>
      </c>
      <c r="F46" s="27">
        <v>287592.63</v>
      </c>
      <c r="G46" s="27">
        <f>322578.61-(338376.45-327245.4)</f>
        <v>311447.56</v>
      </c>
      <c r="H46" s="27">
        <f>273931-1253</f>
        <v>272678</v>
      </c>
      <c r="I46" s="27">
        <v>281057</v>
      </c>
      <c r="S46" s="24">
        <f t="shared" ref="S46:U47" si="6">SUM(G40:G46)</f>
        <v>1735008.8</v>
      </c>
      <c r="T46" s="24">
        <f t="shared" si="6"/>
        <v>1726135.78</v>
      </c>
      <c r="U46" s="24">
        <f t="shared" si="6"/>
        <v>1840288</v>
      </c>
      <c r="V46" s="24">
        <f>U46-T46</f>
        <v>114152.21999999997</v>
      </c>
      <c r="W46" s="42">
        <f>V46/T46</f>
        <v>6.6131657383291118E-2</v>
      </c>
      <c r="Y46" s="24">
        <v>3102103</v>
      </c>
      <c r="Z46" s="41">
        <f>S46/Y46</f>
        <v>0.55930083559443389</v>
      </c>
      <c r="AA46" s="24">
        <v>3235288</v>
      </c>
      <c r="AB46" s="41">
        <f>T46/AA46</f>
        <v>0.53353388631862142</v>
      </c>
      <c r="AC46" s="24">
        <v>3264429</v>
      </c>
      <c r="AD46" s="41">
        <f>U46/AC46</f>
        <v>0.56373963103501412</v>
      </c>
    </row>
    <row r="47" spans="2:30" x14ac:dyDescent="0.25">
      <c r="B47" s="26" t="s">
        <v>22</v>
      </c>
      <c r="C47" s="27">
        <v>297163</v>
      </c>
      <c r="D47" s="27">
        <v>264933.61</v>
      </c>
      <c r="E47" s="27">
        <v>275956.59000000003</v>
      </c>
      <c r="F47" s="27">
        <v>213098.69999999998</v>
      </c>
      <c r="G47" s="27">
        <f>260537.24-52.8</f>
        <v>260484.44</v>
      </c>
      <c r="H47" s="27">
        <f>267827-5433</f>
        <v>262394</v>
      </c>
      <c r="I47" s="27">
        <v>277356</v>
      </c>
      <c r="S47" s="24">
        <f t="shared" si="6"/>
        <v>1710350.32</v>
      </c>
      <c r="T47" s="24">
        <f t="shared" si="6"/>
        <v>1683641</v>
      </c>
      <c r="U47" s="24">
        <f t="shared" si="6"/>
        <v>1773527</v>
      </c>
      <c r="V47" s="24">
        <f>U47-T47</f>
        <v>89886</v>
      </c>
      <c r="W47" s="42">
        <f>V47/T47</f>
        <v>5.3387865940541956E-2</v>
      </c>
      <c r="Y47" s="24">
        <v>3102104</v>
      </c>
      <c r="Z47" s="41">
        <f>S47/Y47</f>
        <v>0.55135170194164995</v>
      </c>
      <c r="AA47" s="24">
        <v>3235289</v>
      </c>
      <c r="AB47" s="41">
        <f>T47/AA47</f>
        <v>0.52039895044924889</v>
      </c>
      <c r="AC47" s="24">
        <v>3264430</v>
      </c>
      <c r="AD47" s="41">
        <f>U47/AC47</f>
        <v>0.5432884148228021</v>
      </c>
    </row>
    <row r="48" spans="2:30" x14ac:dyDescent="0.25">
      <c r="B48" s="26" t="s">
        <v>30</v>
      </c>
      <c r="C48" s="27">
        <v>288099.15999999992</v>
      </c>
      <c r="D48" s="27">
        <v>217979.87000000002</v>
      </c>
      <c r="E48" s="27">
        <v>198527.81000000003</v>
      </c>
      <c r="F48" s="27">
        <v>230008.61</v>
      </c>
      <c r="G48" s="27">
        <f>208447.95-(237721.02-221660)</f>
        <v>192386.93000000002</v>
      </c>
      <c r="H48" s="27">
        <f>202797-84</f>
        <v>202713</v>
      </c>
      <c r="I48" s="27">
        <v>200968</v>
      </c>
    </row>
    <row r="49" spans="2:30" x14ac:dyDescent="0.25">
      <c r="B49" s="26" t="s">
        <v>23</v>
      </c>
      <c r="C49" s="27">
        <v>221520.43000000002</v>
      </c>
      <c r="D49" s="27">
        <v>235966.43</v>
      </c>
      <c r="E49" s="27">
        <v>243002.47000000003</v>
      </c>
      <c r="F49" s="27">
        <v>288529.06</v>
      </c>
      <c r="G49" s="27">
        <f>226039.15-(332794.38-332369.4)</f>
        <v>225614.17</v>
      </c>
      <c r="H49" s="27">
        <f>265846-142-559</f>
        <v>265145</v>
      </c>
      <c r="I49" s="27">
        <v>286562</v>
      </c>
      <c r="S49" s="24">
        <f>SUM(G41:G49)</f>
        <v>2128351.42</v>
      </c>
      <c r="T49" s="24">
        <f t="shared" ref="T49" si="7">SUM(H41:H49)</f>
        <v>2151499</v>
      </c>
      <c r="U49" s="24">
        <f t="shared" ref="U49" si="8">SUM(I41:I49)</f>
        <v>2261057</v>
      </c>
      <c r="V49" s="24">
        <f>U49-T49</f>
        <v>109558</v>
      </c>
      <c r="W49" s="42">
        <f>V49/T49</f>
        <v>5.0921706215062153E-2</v>
      </c>
      <c r="Y49" s="24">
        <v>3102104</v>
      </c>
      <c r="Z49" s="41">
        <f>S49/Y49</f>
        <v>0.68609931195085661</v>
      </c>
      <c r="AA49" s="24">
        <v>3235289</v>
      </c>
      <c r="AB49" s="41">
        <f>T49/AA49</f>
        <v>0.66500983374282796</v>
      </c>
      <c r="AC49" s="24">
        <v>3264430</v>
      </c>
      <c r="AD49" s="41">
        <f>U49/AC49</f>
        <v>0.69263454875736341</v>
      </c>
    </row>
    <row r="50" spans="2:30" x14ac:dyDescent="0.25">
      <c r="B50" s="26" t="s">
        <v>24</v>
      </c>
      <c r="C50" s="27">
        <v>272050.18999999994</v>
      </c>
      <c r="D50" s="27">
        <v>312365.39</v>
      </c>
      <c r="E50" s="27">
        <v>238825.81</v>
      </c>
      <c r="F50" s="27">
        <v>233227.18</v>
      </c>
      <c r="G50" s="27">
        <f>266179.87-100.4-78.8-115.57-94.4</f>
        <v>265790.69999999995</v>
      </c>
      <c r="H50" s="27">
        <f>261779-213-17-64-51</f>
        <v>261434</v>
      </c>
      <c r="I50" s="27">
        <v>257897</v>
      </c>
      <c r="S50" s="24">
        <f>SUM(G41:G50)</f>
        <v>2394142.12</v>
      </c>
      <c r="T50" s="24">
        <f>SUM(H41:H50)</f>
        <v>2412933</v>
      </c>
      <c r="U50" s="24">
        <f>SUM(I41:I50)</f>
        <v>2518954</v>
      </c>
      <c r="V50" s="24">
        <f>U50-T50</f>
        <v>106021</v>
      </c>
      <c r="W50" s="42">
        <f>V50/T50</f>
        <v>4.3938642307929807E-2</v>
      </c>
      <c r="Y50" s="24">
        <v>3102104</v>
      </c>
      <c r="Z50" s="41">
        <f>S50/Y50</f>
        <v>0.77178009505806389</v>
      </c>
      <c r="AA50" s="24">
        <v>3235289</v>
      </c>
      <c r="AB50" s="41">
        <f>T50/AA50</f>
        <v>0.74581683429208334</v>
      </c>
      <c r="AC50" s="24">
        <v>3264430</v>
      </c>
      <c r="AD50" s="41">
        <f>U50/AC50</f>
        <v>0.77163670227267855</v>
      </c>
    </row>
    <row r="51" spans="2:30" x14ac:dyDescent="0.25">
      <c r="B51" s="26" t="s">
        <v>25</v>
      </c>
      <c r="C51" s="27">
        <v>168028.71</v>
      </c>
      <c r="D51" s="27">
        <v>139866.41999999998</v>
      </c>
      <c r="E51" s="27">
        <v>203781.99000000002</v>
      </c>
      <c r="F51" s="27">
        <v>195822.7</v>
      </c>
      <c r="G51" s="27">
        <f>185514.63-(209030-210037)</f>
        <v>186521.63</v>
      </c>
      <c r="H51" s="27">
        <f>164216-2705</f>
        <v>161511</v>
      </c>
      <c r="I51" s="27"/>
    </row>
    <row r="52" spans="2:30" x14ac:dyDescent="0.25">
      <c r="B52" s="26" t="s">
        <v>26</v>
      </c>
      <c r="C52" s="27">
        <v>234169.44</v>
      </c>
      <c r="D52" s="27">
        <v>231308.81</v>
      </c>
      <c r="E52" s="27">
        <v>260644.72</v>
      </c>
      <c r="F52" s="27">
        <v>247980.36000000002</v>
      </c>
      <c r="G52" s="27">
        <f>253000-253.8+268.6+50+173+163</f>
        <v>253400.80000000002</v>
      </c>
      <c r="H52" s="27">
        <f>266209-157-75-69-113</f>
        <v>265795</v>
      </c>
      <c r="I52" s="27"/>
    </row>
    <row r="53" spans="2:30" x14ac:dyDescent="0.25">
      <c r="B53" s="5" t="s">
        <v>41</v>
      </c>
      <c r="C53" s="16">
        <f t="shared" ref="C53:D53" si="9">SUM(C40:C52)</f>
        <v>3081243.27</v>
      </c>
      <c r="D53" s="16">
        <f t="shared" si="9"/>
        <v>3095049.1100000003</v>
      </c>
      <c r="E53" s="16">
        <f>SUM(E40:E52)</f>
        <v>3123064.7600000007</v>
      </c>
      <c r="F53" s="16">
        <f t="shared" ref="F53" si="10">SUM(F40:F52)</f>
        <v>3058379.7</v>
      </c>
      <c r="G53" s="16">
        <f>SUM(G40:G52)</f>
        <v>3119207.4699999997</v>
      </c>
      <c r="H53" s="16">
        <f>SUM(H40:H52)</f>
        <v>3145127.7800000003</v>
      </c>
      <c r="I53" s="16">
        <f>SUM(I40:I52)</f>
        <v>2863071</v>
      </c>
    </row>
    <row r="54" spans="2:30" x14ac:dyDescent="0.25">
      <c r="B54" s="28" t="s">
        <v>46</v>
      </c>
      <c r="C54" s="29">
        <f t="shared" ref="C54:H54" si="11">C53/C39</f>
        <v>0.98509719016482089</v>
      </c>
      <c r="D54" s="29">
        <f t="shared" si="11"/>
        <v>1.0059175451388829</v>
      </c>
      <c r="E54" s="29">
        <f t="shared" si="11"/>
        <v>1.0318129211771436</v>
      </c>
      <c r="F54" s="29">
        <f t="shared" si="11"/>
        <v>0.99883072932149009</v>
      </c>
      <c r="G54" s="29">
        <f t="shared" si="11"/>
        <v>0.98382557659596348</v>
      </c>
      <c r="H54" s="29">
        <f t="shared" si="11"/>
        <v>1.0004560812852652</v>
      </c>
      <c r="I54" s="29">
        <f>I53/I39</f>
        <v>1.0072560745217323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workbookViewId="0">
      <selection activeCell="B11" sqref="A11:B11"/>
    </sheetView>
  </sheetViews>
  <sheetFormatPr defaultRowHeight="15" x14ac:dyDescent="0.25"/>
  <cols>
    <col min="1" max="1" width="51.7109375" bestFit="1" customWidth="1"/>
    <col min="2" max="2" width="17.85546875" bestFit="1" customWidth="1"/>
    <col min="3" max="3" width="15.28515625" style="2" bestFit="1" customWidth="1"/>
    <col min="4" max="4" width="13.140625" style="2" customWidth="1"/>
    <col min="5" max="5" width="12.5703125" style="2" bestFit="1" customWidth="1"/>
    <col min="6" max="14" width="13.140625" style="2" customWidth="1"/>
    <col min="15" max="15" width="14.42578125" style="2" bestFit="1" customWidth="1"/>
    <col min="16" max="16" width="13.140625" style="2" customWidth="1"/>
  </cols>
  <sheetData>
    <row r="1" spans="1:17" ht="21" customHeight="1" x14ac:dyDescent="0.3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x14ac:dyDescent="0.25">
      <c r="A2" s="10" t="s">
        <v>0</v>
      </c>
      <c r="B2" s="10" t="s">
        <v>14</v>
      </c>
      <c r="C2" s="10" t="s">
        <v>16</v>
      </c>
      <c r="D2" s="10" t="s">
        <v>17</v>
      </c>
      <c r="E2" s="10" t="s">
        <v>18</v>
      </c>
      <c r="F2" s="10" t="s">
        <v>19</v>
      </c>
      <c r="G2" s="10" t="s">
        <v>20</v>
      </c>
      <c r="H2" s="10" t="s">
        <v>21</v>
      </c>
      <c r="I2" s="10" t="s">
        <v>22</v>
      </c>
      <c r="J2" s="10" t="s">
        <v>30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31</v>
      </c>
      <c r="P2" s="10" t="s">
        <v>27</v>
      </c>
      <c r="Q2" s="3"/>
    </row>
    <row r="3" spans="1:17" x14ac:dyDescent="0.25">
      <c r="A3" s="6" t="s">
        <v>1</v>
      </c>
      <c r="B3" s="7">
        <v>13112348.939999999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>
        <f>SUM(C3:N3)</f>
        <v>0</v>
      </c>
      <c r="P3" s="8"/>
    </row>
    <row r="4" spans="1:17" x14ac:dyDescent="0.25">
      <c r="A4" s="6" t="s">
        <v>2</v>
      </c>
      <c r="B4" s="8">
        <v>14450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>
        <f t="shared" ref="O4:O14" si="0">SUM(C4:N4)</f>
        <v>0</v>
      </c>
      <c r="P4" s="8"/>
    </row>
    <row r="5" spans="1:17" x14ac:dyDescent="0.25">
      <c r="A5" s="6" t="s">
        <v>3</v>
      </c>
      <c r="B5" s="8">
        <v>7150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 t="shared" si="0"/>
        <v>0</v>
      </c>
      <c r="P5" s="8"/>
    </row>
    <row r="6" spans="1:17" x14ac:dyDescent="0.25">
      <c r="A6" s="6" t="s">
        <v>4</v>
      </c>
      <c r="B6" s="8">
        <v>15676.32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>
        <f t="shared" si="0"/>
        <v>0</v>
      </c>
      <c r="P6" s="8"/>
    </row>
    <row r="7" spans="1:17" x14ac:dyDescent="0.25">
      <c r="A7" s="6" t="s">
        <v>5</v>
      </c>
      <c r="B7" s="8">
        <v>29059.01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>
        <f t="shared" si="0"/>
        <v>0</v>
      </c>
      <c r="P7" s="8"/>
    </row>
    <row r="8" spans="1:17" x14ac:dyDescent="0.25">
      <c r="A8" s="6" t="s">
        <v>6</v>
      </c>
      <c r="B8" s="8" t="s">
        <v>15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f t="shared" si="0"/>
        <v>0</v>
      </c>
      <c r="P8" s="8"/>
    </row>
    <row r="9" spans="1:17" x14ac:dyDescent="0.25">
      <c r="A9" s="6" t="s">
        <v>7</v>
      </c>
      <c r="B9" s="8">
        <v>153874.91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f t="shared" si="0"/>
        <v>0</v>
      </c>
      <c r="P9" s="8"/>
    </row>
    <row r="10" spans="1:17" x14ac:dyDescent="0.25">
      <c r="A10" s="6" t="s">
        <v>8</v>
      </c>
      <c r="B10" s="8">
        <v>261484.14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f t="shared" si="0"/>
        <v>0</v>
      </c>
      <c r="P10" s="8"/>
    </row>
    <row r="11" spans="1:17" x14ac:dyDescent="0.25">
      <c r="A11" s="6" t="s">
        <v>9</v>
      </c>
      <c r="B11" s="8">
        <v>318684.38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f t="shared" si="0"/>
        <v>0</v>
      </c>
      <c r="P11" s="8"/>
    </row>
    <row r="12" spans="1:17" x14ac:dyDescent="0.25">
      <c r="A12" s="6" t="s">
        <v>10</v>
      </c>
      <c r="B12" s="8" t="s">
        <v>15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 t="shared" si="0"/>
        <v>0</v>
      </c>
      <c r="P12" s="8"/>
    </row>
    <row r="13" spans="1:17" x14ac:dyDescent="0.25">
      <c r="A13" s="6" t="s">
        <v>11</v>
      </c>
      <c r="B13" s="8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>
        <f t="shared" si="0"/>
        <v>0</v>
      </c>
      <c r="P13" s="8"/>
    </row>
    <row r="14" spans="1:17" x14ac:dyDescent="0.25">
      <c r="A14" s="6" t="s">
        <v>12</v>
      </c>
      <c r="B14" s="8" t="s">
        <v>15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f t="shared" si="0"/>
        <v>0</v>
      </c>
      <c r="P14" s="8"/>
    </row>
    <row r="15" spans="1:17" x14ac:dyDescent="0.25">
      <c r="A15" s="5" t="s">
        <v>13</v>
      </c>
      <c r="B15" s="9">
        <f>SUM(B3:B11)</f>
        <v>13912727.700000001</v>
      </c>
      <c r="C15" s="8">
        <f>SUM(C3:C14)</f>
        <v>0</v>
      </c>
      <c r="D15" s="8">
        <f t="shared" ref="D15:P15" si="1">SUM(D3:D14)</f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  <c r="I15" s="8">
        <f t="shared" si="1"/>
        <v>0</v>
      </c>
      <c r="J15" s="8">
        <f t="shared" ref="J15" si="2">SUM(J3:J14)</f>
        <v>0</v>
      </c>
      <c r="K15" s="8">
        <f t="shared" si="1"/>
        <v>0</v>
      </c>
      <c r="L15" s="8">
        <f t="shared" si="1"/>
        <v>0</v>
      </c>
      <c r="M15" s="8">
        <f t="shared" si="1"/>
        <v>0</v>
      </c>
      <c r="N15" s="8">
        <f t="shared" si="1"/>
        <v>0</v>
      </c>
      <c r="O15" s="8">
        <f t="shared" si="1"/>
        <v>0</v>
      </c>
      <c r="P15" s="8">
        <f t="shared" si="1"/>
        <v>0</v>
      </c>
    </row>
    <row r="16" spans="1:17" x14ac:dyDescent="0.25">
      <c r="B16" s="4"/>
      <c r="C16" s="1">
        <v>12318225.649999999</v>
      </c>
      <c r="D16" s="1">
        <v>374470.56</v>
      </c>
      <c r="E16" s="1">
        <v>232570.48</v>
      </c>
      <c r="F16" s="1">
        <v>150100.89000000001</v>
      </c>
      <c r="G16" s="1">
        <v>151339.44</v>
      </c>
      <c r="H16" s="1">
        <v>45710.44</v>
      </c>
      <c r="I16" s="1">
        <v>49072.94</v>
      </c>
      <c r="J16" s="1">
        <v>36725.97</v>
      </c>
      <c r="K16" s="1">
        <v>40473.81</v>
      </c>
      <c r="L16" s="1">
        <v>89579.56</v>
      </c>
      <c r="M16" s="1">
        <v>25471.540000000005</v>
      </c>
      <c r="N16" s="1">
        <v>1917.24</v>
      </c>
      <c r="O16" s="1"/>
      <c r="P16" s="1">
        <v>397069.17</v>
      </c>
    </row>
    <row r="17" spans="1:16" x14ac:dyDescent="0.25">
      <c r="B17" s="4"/>
      <c r="C17" s="12">
        <f>C16/$B$15</f>
        <v>0.88539256396141486</v>
      </c>
      <c r="D17" s="12">
        <f t="shared" ref="D17:N17" si="3">D16/$B$15</f>
        <v>2.6915682393467671E-2</v>
      </c>
      <c r="E17" s="12">
        <f t="shared" si="3"/>
        <v>1.6716382654423691E-2</v>
      </c>
      <c r="F17" s="12">
        <f t="shared" si="3"/>
        <v>1.0788746336205517E-2</v>
      </c>
      <c r="G17" s="12">
        <f t="shared" si="3"/>
        <v>1.08777691379671E-2</v>
      </c>
      <c r="H17" s="12">
        <f t="shared" si="3"/>
        <v>3.2855124448385488E-3</v>
      </c>
      <c r="I17" s="12">
        <f t="shared" si="3"/>
        <v>3.5271976177611813E-3</v>
      </c>
      <c r="J17" s="12">
        <f t="shared" si="3"/>
        <v>2.6397390067513502E-3</v>
      </c>
      <c r="K17" s="12">
        <f t="shared" si="3"/>
        <v>2.9091211207993377E-3</v>
      </c>
      <c r="L17" s="12">
        <f t="shared" si="3"/>
        <v>6.4386770108351933E-3</v>
      </c>
      <c r="M17" s="12">
        <f t="shared" si="3"/>
        <v>1.8308084905593316E-3</v>
      </c>
      <c r="N17" s="12">
        <f t="shared" si="3"/>
        <v>1.3780475269418232E-4</v>
      </c>
      <c r="O17" s="12">
        <f t="shared" ref="O17" si="4">O16/$B$15</f>
        <v>0</v>
      </c>
      <c r="P17" s="12">
        <f t="shared" ref="P17" si="5">P16/$B$15</f>
        <v>2.8539994353515591E-2</v>
      </c>
    </row>
    <row r="18" spans="1:16" x14ac:dyDescent="0.25">
      <c r="C18" s="11">
        <f>SUM(C16:N16)</f>
        <v>13515658.52</v>
      </c>
    </row>
    <row r="19" spans="1:16" x14ac:dyDescent="0.25">
      <c r="C19" s="11">
        <f>B15-C18</f>
        <v>397069.18000000156</v>
      </c>
    </row>
    <row r="22" spans="1:16" x14ac:dyDescent="0.25">
      <c r="C22" s="2" t="s">
        <v>33</v>
      </c>
    </row>
    <row r="26" spans="1:16" x14ac:dyDescent="0.25">
      <c r="A26" s="17" t="s">
        <v>36</v>
      </c>
      <c r="B26" s="17">
        <v>2019</v>
      </c>
      <c r="C26" s="17">
        <v>2020</v>
      </c>
      <c r="D26" s="17">
        <v>2021</v>
      </c>
      <c r="E26" s="17">
        <v>2022</v>
      </c>
      <c r="F26" s="17">
        <v>2023</v>
      </c>
    </row>
    <row r="27" spans="1:16" x14ac:dyDescent="0.25">
      <c r="A27" s="13" t="s">
        <v>35</v>
      </c>
      <c r="B27" s="13"/>
      <c r="C27" s="13"/>
      <c r="D27" s="14">
        <v>13933470.41</v>
      </c>
      <c r="E27" s="18">
        <v>13912727.700000001</v>
      </c>
      <c r="F27" s="13"/>
    </row>
    <row r="28" spans="1:16" x14ac:dyDescent="0.25">
      <c r="A28" s="13" t="s">
        <v>34</v>
      </c>
      <c r="B28" s="13"/>
      <c r="C28" s="13"/>
      <c r="D28" s="14">
        <v>12161630.380000001</v>
      </c>
      <c r="E28" s="18">
        <v>12318225.649999999</v>
      </c>
      <c r="F28" s="13"/>
    </row>
    <row r="29" spans="1:16" x14ac:dyDescent="0.25">
      <c r="A29" s="13" t="s">
        <v>17</v>
      </c>
      <c r="B29" s="13"/>
      <c r="C29" s="13"/>
      <c r="D29" s="14">
        <v>292897.17</v>
      </c>
      <c r="E29" s="18">
        <v>374470.56</v>
      </c>
      <c r="F29" s="13"/>
    </row>
    <row r="30" spans="1:16" x14ac:dyDescent="0.25">
      <c r="A30" s="13" t="s">
        <v>18</v>
      </c>
      <c r="B30" s="13"/>
      <c r="C30" s="13"/>
      <c r="D30" s="14">
        <v>283332.72000000003</v>
      </c>
      <c r="E30" s="18">
        <v>232570.48</v>
      </c>
      <c r="F30" s="13"/>
    </row>
    <row r="31" spans="1:16" x14ac:dyDescent="0.25">
      <c r="A31" s="13" t="s">
        <v>19</v>
      </c>
      <c r="B31" s="13"/>
      <c r="C31" s="13"/>
      <c r="D31" s="14">
        <v>160837.15</v>
      </c>
      <c r="E31" s="18">
        <v>150100.89000000001</v>
      </c>
      <c r="F31" s="13"/>
    </row>
    <row r="32" spans="1:16" x14ac:dyDescent="0.25">
      <c r="A32" s="13" t="s">
        <v>20</v>
      </c>
      <c r="B32" s="13"/>
      <c r="C32" s="13"/>
      <c r="D32" s="14">
        <v>155683.26</v>
      </c>
      <c r="E32" s="18">
        <v>151339.44</v>
      </c>
      <c r="F32" s="13"/>
    </row>
    <row r="33" spans="1:6" x14ac:dyDescent="0.25">
      <c r="A33" s="13" t="s">
        <v>21</v>
      </c>
      <c r="B33" s="13"/>
      <c r="C33" s="13"/>
      <c r="D33" s="14">
        <v>93463.549999999988</v>
      </c>
      <c r="E33" s="18">
        <v>45710.44</v>
      </c>
      <c r="F33" s="13"/>
    </row>
    <row r="34" spans="1:6" x14ac:dyDescent="0.25">
      <c r="A34" s="13" t="s">
        <v>22</v>
      </c>
      <c r="B34" s="13"/>
      <c r="C34" s="13"/>
      <c r="D34" s="14">
        <v>33251.980000000003</v>
      </c>
      <c r="E34" s="18">
        <v>49072.94</v>
      </c>
      <c r="F34" s="13"/>
    </row>
    <row r="35" spans="1:6" x14ac:dyDescent="0.25">
      <c r="A35" s="13" t="s">
        <v>30</v>
      </c>
      <c r="B35" s="13"/>
      <c r="C35" s="13"/>
      <c r="D35" s="14">
        <v>40177.920000000006</v>
      </c>
      <c r="E35" s="18">
        <v>36725.97</v>
      </c>
      <c r="F35" s="13"/>
    </row>
    <row r="36" spans="1:6" x14ac:dyDescent="0.25">
      <c r="A36" s="13" t="s">
        <v>23</v>
      </c>
      <c r="B36" s="13"/>
      <c r="C36" s="13"/>
      <c r="D36" s="14">
        <v>16688.29</v>
      </c>
      <c r="E36" s="18">
        <v>40473.81</v>
      </c>
      <c r="F36" s="13"/>
    </row>
    <row r="37" spans="1:6" x14ac:dyDescent="0.25">
      <c r="A37" s="13" t="s">
        <v>24</v>
      </c>
      <c r="B37" s="13"/>
      <c r="C37" s="13"/>
      <c r="D37" s="14">
        <v>91448.98</v>
      </c>
      <c r="E37" s="18">
        <v>89579.56</v>
      </c>
      <c r="F37" s="13"/>
    </row>
    <row r="38" spans="1:6" x14ac:dyDescent="0.25">
      <c r="A38" s="13" t="s">
        <v>25</v>
      </c>
      <c r="B38" s="13"/>
      <c r="C38" s="13"/>
      <c r="D38" s="14">
        <v>73001.12000000001</v>
      </c>
      <c r="E38" s="18">
        <v>25471.540000000005</v>
      </c>
      <c r="F38" s="13"/>
    </row>
    <row r="39" spans="1:6" x14ac:dyDescent="0.25">
      <c r="A39" s="13" t="s">
        <v>26</v>
      </c>
      <c r="B39" s="13"/>
      <c r="C39" s="13"/>
      <c r="D39" s="14">
        <f>67.75+25</f>
        <v>92.75</v>
      </c>
      <c r="E39" s="18">
        <v>1917.24</v>
      </c>
      <c r="F39" s="13"/>
    </row>
    <row r="40" spans="1:6" x14ac:dyDescent="0.25">
      <c r="A40" s="13" t="s">
        <v>27</v>
      </c>
      <c r="B40" s="13"/>
      <c r="C40" s="13"/>
      <c r="D40" s="14">
        <v>530965.14</v>
      </c>
      <c r="E40" s="18">
        <v>397069.17</v>
      </c>
      <c r="F40" s="13"/>
    </row>
    <row r="41" spans="1:6" x14ac:dyDescent="0.25">
      <c r="A41" s="5" t="s">
        <v>28</v>
      </c>
      <c r="B41" s="16">
        <f t="shared" ref="B41:D41" si="6">SUM(B28:B40)</f>
        <v>0</v>
      </c>
      <c r="C41" s="16">
        <f t="shared" si="6"/>
        <v>0</v>
      </c>
      <c r="D41" s="16">
        <f t="shared" si="6"/>
        <v>13933470.410000002</v>
      </c>
      <c r="E41" s="16">
        <v>13912727.689999999</v>
      </c>
      <c r="F41" s="16">
        <f>SUM(F28:F40)</f>
        <v>0</v>
      </c>
    </row>
  </sheetData>
  <mergeCells count="1">
    <mergeCell ref="A1:P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topLeftCell="A4" workbookViewId="0">
      <selection activeCell="A38" sqref="A23:F38"/>
    </sheetView>
  </sheetViews>
  <sheetFormatPr defaultRowHeight="15" x14ac:dyDescent="0.25"/>
  <cols>
    <col min="1" max="1" width="51.7109375" bestFit="1" customWidth="1"/>
    <col min="2" max="2" width="17.85546875" bestFit="1" customWidth="1"/>
    <col min="3" max="4" width="15.28515625" style="2" bestFit="1" customWidth="1"/>
    <col min="5" max="14" width="13.140625" style="2" customWidth="1"/>
    <col min="15" max="15" width="14.42578125" style="2" bestFit="1" customWidth="1"/>
    <col min="16" max="16" width="13.140625" style="2" customWidth="1"/>
  </cols>
  <sheetData>
    <row r="1" spans="1:17" ht="21" x14ac:dyDescent="0.35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7" x14ac:dyDescent="0.25">
      <c r="A2" s="10" t="s">
        <v>0</v>
      </c>
      <c r="B2" s="10" t="s">
        <v>14</v>
      </c>
      <c r="C2" s="10" t="s">
        <v>16</v>
      </c>
      <c r="D2" s="10" t="s">
        <v>17</v>
      </c>
      <c r="E2" s="10" t="s">
        <v>18</v>
      </c>
      <c r="F2" s="10" t="s">
        <v>19</v>
      </c>
      <c r="G2" s="10" t="s">
        <v>20</v>
      </c>
      <c r="H2" s="10" t="s">
        <v>21</v>
      </c>
      <c r="I2" s="10" t="s">
        <v>22</v>
      </c>
      <c r="J2" s="10" t="s">
        <v>30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31</v>
      </c>
      <c r="P2" s="10" t="s">
        <v>27</v>
      </c>
      <c r="Q2" s="3"/>
    </row>
    <row r="3" spans="1:17" x14ac:dyDescent="0.25">
      <c r="A3" s="6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>
        <f>SUM(C3:N3)</f>
        <v>0</v>
      </c>
      <c r="P3" s="8"/>
    </row>
    <row r="4" spans="1:17" x14ac:dyDescent="0.25">
      <c r="A4" s="6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>
        <f t="shared" ref="O4:O14" si="0">SUM(C4:N4)</f>
        <v>0</v>
      </c>
      <c r="P4" s="8"/>
    </row>
    <row r="5" spans="1:17" x14ac:dyDescent="0.25">
      <c r="A5" s="6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 t="shared" si="0"/>
        <v>0</v>
      </c>
      <c r="P5" s="8"/>
    </row>
    <row r="6" spans="1:17" x14ac:dyDescent="0.25">
      <c r="A6" s="6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>
        <f t="shared" si="0"/>
        <v>0</v>
      </c>
      <c r="P6" s="8"/>
    </row>
    <row r="7" spans="1:17" x14ac:dyDescent="0.25">
      <c r="A7" s="6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>
        <f t="shared" si="0"/>
        <v>0</v>
      </c>
      <c r="P7" s="8"/>
    </row>
    <row r="8" spans="1:17" x14ac:dyDescent="0.25">
      <c r="A8" s="6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f t="shared" si="0"/>
        <v>0</v>
      </c>
      <c r="P8" s="8"/>
    </row>
    <row r="9" spans="1:17" x14ac:dyDescent="0.25">
      <c r="A9" s="6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f t="shared" si="0"/>
        <v>0</v>
      </c>
      <c r="P9" s="8"/>
    </row>
    <row r="10" spans="1:17" x14ac:dyDescent="0.25">
      <c r="A10" s="6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f t="shared" si="0"/>
        <v>0</v>
      </c>
      <c r="P10" s="8"/>
    </row>
    <row r="11" spans="1:17" x14ac:dyDescent="0.25">
      <c r="A11" s="6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f t="shared" si="0"/>
        <v>0</v>
      </c>
      <c r="P11" s="8"/>
    </row>
    <row r="12" spans="1:17" x14ac:dyDescent="0.25">
      <c r="A12" s="6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 t="shared" si="0"/>
        <v>0</v>
      </c>
      <c r="P12" s="8"/>
    </row>
    <row r="13" spans="1:17" x14ac:dyDescent="0.25">
      <c r="A13" s="6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>
        <f t="shared" si="0"/>
        <v>0</v>
      </c>
      <c r="P13" s="8"/>
    </row>
    <row r="14" spans="1:17" x14ac:dyDescent="0.25">
      <c r="A14" s="6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f t="shared" si="0"/>
        <v>0</v>
      </c>
      <c r="P14" s="8"/>
    </row>
    <row r="15" spans="1:17" x14ac:dyDescent="0.25">
      <c r="A15" s="5" t="s">
        <v>13</v>
      </c>
      <c r="B15" s="9">
        <v>13933470.41</v>
      </c>
      <c r="C15" s="8">
        <v>12161630.380000001</v>
      </c>
      <c r="D15" s="8">
        <v>292897.17</v>
      </c>
      <c r="E15" s="8">
        <v>283332.72000000003</v>
      </c>
      <c r="F15" s="8">
        <v>160837.15</v>
      </c>
      <c r="G15" s="8">
        <v>155683.26</v>
      </c>
      <c r="H15" s="8">
        <v>93463.549999999988</v>
      </c>
      <c r="I15" s="8">
        <v>33251.980000000003</v>
      </c>
      <c r="J15" s="8">
        <v>40177.920000000006</v>
      </c>
      <c r="K15" s="8">
        <v>16688.29</v>
      </c>
      <c r="L15" s="8">
        <v>91448.98</v>
      </c>
      <c r="M15" s="8">
        <v>73001.12000000001</v>
      </c>
      <c r="N15" s="8">
        <v>67.75</v>
      </c>
      <c r="O15" s="8">
        <f t="shared" ref="O15" si="1">SUM(O3:O14)</f>
        <v>0</v>
      </c>
      <c r="P15" s="8">
        <v>530965.14</v>
      </c>
    </row>
    <row r="16" spans="1:17" x14ac:dyDescent="0.25">
      <c r="B16" s="4"/>
      <c r="C16" s="12">
        <f>C15/$B$15</f>
        <v>0.87283569865491972</v>
      </c>
      <c r="D16" s="12">
        <f t="shared" ref="D16:N16" si="2">D15/$B$15</f>
        <v>2.1021121183835777E-2</v>
      </c>
      <c r="E16" s="12">
        <f t="shared" si="2"/>
        <v>2.0334684157125218E-2</v>
      </c>
      <c r="F16" s="12">
        <f t="shared" si="2"/>
        <v>1.1543222561736505E-2</v>
      </c>
      <c r="G16" s="12">
        <f t="shared" si="2"/>
        <v>1.1173329789272506E-2</v>
      </c>
      <c r="H16" s="12">
        <f t="shared" si="2"/>
        <v>6.7078442950524045E-3</v>
      </c>
      <c r="I16" s="12">
        <f t="shared" si="2"/>
        <v>2.3864822633229391E-3</v>
      </c>
      <c r="J16" s="12">
        <f t="shared" si="2"/>
        <v>2.8835544066009903E-3</v>
      </c>
      <c r="K16" s="12">
        <f t="shared" si="2"/>
        <v>1.1977123795391905E-3</v>
      </c>
      <c r="L16" s="12">
        <f t="shared" si="2"/>
        <v>6.5632593538482277E-3</v>
      </c>
      <c r="M16" s="12">
        <f t="shared" si="2"/>
        <v>5.2392632884631076E-3</v>
      </c>
      <c r="N16" s="12">
        <f t="shared" si="2"/>
        <v>4.8623923549854511E-6</v>
      </c>
      <c r="O16" s="12">
        <f>O15/$B$15</f>
        <v>0</v>
      </c>
      <c r="P16" s="12">
        <f t="shared" ref="P16" si="3">P15/$B$15</f>
        <v>3.8107171033207085E-2</v>
      </c>
    </row>
    <row r="17" spans="1:16" x14ac:dyDescent="0.25"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C18" s="11">
        <f>SUM(C15:N15)</f>
        <v>13402480.270000001</v>
      </c>
    </row>
    <row r="19" spans="1:16" x14ac:dyDescent="0.25">
      <c r="C19" s="11">
        <f>B15-C18</f>
        <v>530990.13999999873</v>
      </c>
    </row>
    <row r="23" spans="1:16" x14ac:dyDescent="0.25">
      <c r="A23" s="17" t="s">
        <v>36</v>
      </c>
      <c r="B23" s="17">
        <v>2019</v>
      </c>
      <c r="C23" s="17">
        <v>2020</v>
      </c>
      <c r="D23" s="17">
        <v>2021</v>
      </c>
      <c r="E23" s="17">
        <v>2022</v>
      </c>
      <c r="F23" s="17">
        <v>2023</v>
      </c>
    </row>
    <row r="24" spans="1:16" x14ac:dyDescent="0.25">
      <c r="A24" s="13" t="s">
        <v>35</v>
      </c>
      <c r="B24" s="13"/>
      <c r="C24" s="13"/>
      <c r="D24" s="14">
        <v>13933470.41</v>
      </c>
      <c r="E24" s="13"/>
      <c r="F24" s="13"/>
    </row>
    <row r="25" spans="1:16" x14ac:dyDescent="0.25">
      <c r="A25" s="13" t="s">
        <v>34</v>
      </c>
      <c r="B25" s="13"/>
      <c r="C25" s="13"/>
      <c r="D25" s="14">
        <v>12161630.380000001</v>
      </c>
      <c r="E25" s="13"/>
      <c r="F25" s="13"/>
    </row>
    <row r="26" spans="1:16" x14ac:dyDescent="0.25">
      <c r="A26" s="13" t="s">
        <v>17</v>
      </c>
      <c r="B26" s="13"/>
      <c r="C26" s="13"/>
      <c r="D26" s="14">
        <v>292897.17</v>
      </c>
      <c r="E26" s="13"/>
      <c r="F26" s="13"/>
    </row>
    <row r="27" spans="1:16" x14ac:dyDescent="0.25">
      <c r="A27" s="13" t="s">
        <v>18</v>
      </c>
      <c r="B27" s="13"/>
      <c r="C27" s="13"/>
      <c r="D27" s="14">
        <v>283332.72000000003</v>
      </c>
      <c r="E27" s="13"/>
      <c r="F27" s="13"/>
    </row>
    <row r="28" spans="1:16" x14ac:dyDescent="0.25">
      <c r="A28" s="13" t="s">
        <v>19</v>
      </c>
      <c r="B28" s="13"/>
      <c r="C28" s="13"/>
      <c r="D28" s="14">
        <v>160837.15</v>
      </c>
      <c r="E28" s="13"/>
      <c r="F28" s="13"/>
    </row>
    <row r="29" spans="1:16" x14ac:dyDescent="0.25">
      <c r="A29" s="13" t="s">
        <v>20</v>
      </c>
      <c r="B29" s="13"/>
      <c r="C29" s="13"/>
      <c r="D29" s="14">
        <v>155683.26</v>
      </c>
      <c r="E29" s="13"/>
      <c r="F29" s="13"/>
    </row>
    <row r="30" spans="1:16" x14ac:dyDescent="0.25">
      <c r="A30" s="13" t="s">
        <v>21</v>
      </c>
      <c r="B30" s="13"/>
      <c r="C30" s="13"/>
      <c r="D30" s="14">
        <v>93463.549999999988</v>
      </c>
      <c r="E30" s="13"/>
      <c r="F30" s="13"/>
    </row>
    <row r="31" spans="1:16" x14ac:dyDescent="0.25">
      <c r="A31" s="13" t="s">
        <v>22</v>
      </c>
      <c r="B31" s="13"/>
      <c r="C31" s="13"/>
      <c r="D31" s="14">
        <v>33251.980000000003</v>
      </c>
      <c r="E31" s="13"/>
      <c r="F31" s="13"/>
    </row>
    <row r="32" spans="1:16" x14ac:dyDescent="0.25">
      <c r="A32" s="13" t="s">
        <v>30</v>
      </c>
      <c r="B32" s="13"/>
      <c r="C32" s="13"/>
      <c r="D32" s="14">
        <v>40177.920000000006</v>
      </c>
      <c r="E32" s="13"/>
      <c r="F32" s="13"/>
    </row>
    <row r="33" spans="1:6" x14ac:dyDescent="0.25">
      <c r="A33" s="13" t="s">
        <v>23</v>
      </c>
      <c r="B33" s="13"/>
      <c r="C33" s="13"/>
      <c r="D33" s="14">
        <v>16688.29</v>
      </c>
      <c r="E33" s="13"/>
      <c r="F33" s="13"/>
    </row>
    <row r="34" spans="1:6" x14ac:dyDescent="0.25">
      <c r="A34" s="13" t="s">
        <v>24</v>
      </c>
      <c r="B34" s="13"/>
      <c r="C34" s="13"/>
      <c r="D34" s="14">
        <v>91448.98</v>
      </c>
      <c r="E34" s="13"/>
      <c r="F34" s="13"/>
    </row>
    <row r="35" spans="1:6" x14ac:dyDescent="0.25">
      <c r="A35" s="13" t="s">
        <v>25</v>
      </c>
      <c r="B35" s="13"/>
      <c r="C35" s="13"/>
      <c r="D35" s="14">
        <v>73001.12000000001</v>
      </c>
      <c r="E35" s="13"/>
      <c r="F35" s="13"/>
    </row>
    <row r="36" spans="1:6" x14ac:dyDescent="0.25">
      <c r="A36" s="13" t="s">
        <v>26</v>
      </c>
      <c r="B36" s="13"/>
      <c r="C36" s="13"/>
      <c r="D36" s="14">
        <f>67.75+25</f>
        <v>92.75</v>
      </c>
      <c r="E36" s="13"/>
      <c r="F36" s="13"/>
    </row>
    <row r="37" spans="1:6" x14ac:dyDescent="0.25">
      <c r="A37" s="13" t="s">
        <v>27</v>
      </c>
      <c r="B37" s="13"/>
      <c r="C37" s="13"/>
      <c r="D37" s="14">
        <v>530965.14</v>
      </c>
      <c r="E37" s="13"/>
      <c r="F37" s="13"/>
    </row>
    <row r="38" spans="1:6" x14ac:dyDescent="0.25">
      <c r="A38" s="5" t="s">
        <v>28</v>
      </c>
      <c r="B38" s="16">
        <f t="shared" ref="B38:D38" si="4">SUM(B25:B37)</f>
        <v>0</v>
      </c>
      <c r="C38" s="16">
        <f t="shared" si="4"/>
        <v>0</v>
      </c>
      <c r="D38" s="16">
        <f t="shared" si="4"/>
        <v>13933470.410000002</v>
      </c>
      <c r="E38" s="16">
        <f>SUM(E25:E37)</f>
        <v>0</v>
      </c>
      <c r="F38" s="16">
        <f>SUM(F25:F37)</f>
        <v>0</v>
      </c>
    </row>
    <row r="39" spans="1:6" x14ac:dyDescent="0.25">
      <c r="D39" s="15"/>
    </row>
  </sheetData>
  <mergeCells count="1">
    <mergeCell ref="A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Property Taxes</vt:lpstr>
      <vt:lpstr>Tax Certificates</vt:lpstr>
      <vt:lpstr>Utility Receivables</vt:lpstr>
      <vt:lpstr>2022 Property Taxes</vt:lpstr>
      <vt:lpstr>2021 Property Taxes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cp:lastPrinted>2023-03-02T18:09:47Z</cp:lastPrinted>
  <dcterms:created xsi:type="dcterms:W3CDTF">2023-03-02T15:08:38Z</dcterms:created>
  <dcterms:modified xsi:type="dcterms:W3CDTF">2025-12-02T16:40:36Z</dcterms:modified>
</cp:coreProperties>
</file>