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4000" windowHeight="9480"/>
  </bookViews>
  <sheets>
    <sheet name="FY 2024 - FY 2026 (MTD)" sheetId="1" r:id="rId1"/>
  </sheets>
  <definedNames>
    <definedName name="_xlnm.Print_Area" localSheetId="0">'FY 2024 - FY 2026 (MTD)'!$B$1:$W$16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" i="1" l="1"/>
  <c r="V7" i="1"/>
  <c r="V5" i="1" l="1"/>
  <c r="V6" i="1"/>
  <c r="R16" i="1" l="1"/>
  <c r="S15" i="1"/>
  <c r="T15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S16" i="1" s="1"/>
  <c r="T5" i="1" l="1"/>
  <c r="T16" i="1" s="1"/>
  <c r="AA9" i="1" l="1"/>
  <c r="AA8" i="1"/>
  <c r="V16" i="1" l="1"/>
  <c r="W13" i="1" l="1"/>
  <c r="AA10" i="1" l="1"/>
  <c r="W6" i="1" l="1"/>
  <c r="W7" i="1"/>
  <c r="W8" i="1"/>
  <c r="W9" i="1"/>
  <c r="W10" i="1"/>
  <c r="W11" i="1"/>
  <c r="W12" i="1"/>
  <c r="W5" i="1"/>
  <c r="U16" i="1" l="1"/>
  <c r="W15" i="1"/>
  <c r="W14" i="1"/>
  <c r="W16" i="1" l="1"/>
  <c r="Q15" i="1"/>
  <c r="P16" i="1"/>
  <c r="P15" i="1"/>
  <c r="Q13" i="1" l="1"/>
  <c r="Q14" i="1"/>
  <c r="P14" i="1"/>
  <c r="P13" i="1"/>
  <c r="P12" i="1" l="1"/>
  <c r="P11" i="1"/>
  <c r="P10" i="1" l="1"/>
  <c r="P9" i="1"/>
  <c r="P8" i="1"/>
  <c r="P7" i="1" l="1"/>
  <c r="Q7" i="1" s="1"/>
  <c r="P6" i="1"/>
  <c r="P5" i="1"/>
  <c r="Q5" i="1" s="1"/>
  <c r="N15" i="1"/>
  <c r="O16" i="1"/>
  <c r="Q6" i="1"/>
  <c r="Q8" i="1"/>
  <c r="Q9" i="1"/>
  <c r="Q10" i="1"/>
  <c r="Q11" i="1"/>
  <c r="Q12" i="1"/>
  <c r="Q16" i="1" l="1"/>
  <c r="N14" i="1"/>
  <c r="N13" i="1" l="1"/>
  <c r="N12" i="1" l="1"/>
  <c r="N11" i="1" l="1"/>
  <c r="N10" i="1" l="1"/>
  <c r="N9" i="1" l="1"/>
  <c r="N8" i="1" l="1"/>
  <c r="N7" i="1" l="1"/>
  <c r="N6" i="1" l="1"/>
  <c r="N5" i="1"/>
  <c r="K15" i="1" l="1"/>
  <c r="N16" i="1" l="1"/>
  <c r="M16" i="1"/>
  <c r="L16" i="1"/>
  <c r="J16" i="1"/>
  <c r="I16" i="1"/>
  <c r="G16" i="1"/>
  <c r="F16" i="1"/>
  <c r="D16" i="1"/>
  <c r="C16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K7" i="1"/>
  <c r="H7" i="1"/>
  <c r="E7" i="1"/>
  <c r="K6" i="1"/>
  <c r="H6" i="1"/>
  <c r="E6" i="1"/>
  <c r="K5" i="1"/>
  <c r="H5" i="1"/>
  <c r="H16" i="1" s="1"/>
  <c r="E5" i="1"/>
  <c r="E16" i="1" l="1"/>
  <c r="K16" i="1"/>
</calcChain>
</file>

<file path=xl/sharedStrings.xml><?xml version="1.0" encoding="utf-8"?>
<sst xmlns="http://schemas.openxmlformats.org/spreadsheetml/2006/main" count="40" uniqueCount="40">
  <si>
    <t>Month</t>
  </si>
  <si>
    <t>2020 Budgeted</t>
  </si>
  <si>
    <t>2020 Actual</t>
  </si>
  <si>
    <t>2020 Variance</t>
  </si>
  <si>
    <t>2021 Budgeted</t>
  </si>
  <si>
    <t>2021 Actual</t>
  </si>
  <si>
    <t>2021 Variance</t>
  </si>
  <si>
    <t>2022 Budgeted</t>
  </si>
  <si>
    <t>2022 Actual</t>
  </si>
  <si>
    <t>2022 Variance</t>
  </si>
  <si>
    <t>2023 Budgeted</t>
  </si>
  <si>
    <t>2023 Actual</t>
  </si>
  <si>
    <t>2023 Variance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</si>
  <si>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</si>
  <si>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</si>
  <si>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</si>
  <si>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</si>
  <si>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</si>
  <si>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</si>
  <si>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</si>
  <si>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</si>
  <si>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</si>
  <si>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</si>
  <si>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</si>
  <si>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</si>
  <si>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</si>
  <si>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2024 Variance</t>
  </si>
  <si>
    <t>2024 Budgeted</t>
  </si>
  <si>
    <t>31110 - Sales &amp; Use Tax: Pre-empted</t>
  </si>
  <si>
    <t>31120 - Sales &amp; Use Tax: County Distribution</t>
  </si>
  <si>
    <t>2025 Budgeted</t>
  </si>
  <si>
    <t>2025 Variance</t>
  </si>
  <si>
    <t>*</t>
  </si>
  <si>
    <t>2026 Budgeted</t>
  </si>
  <si>
    <t>2026 Variance</t>
  </si>
  <si>
    <t>2024    Actual</t>
  </si>
  <si>
    <t>2025    Actual</t>
  </si>
  <si>
    <t>2026    Actual</t>
  </si>
  <si>
    <t>NW&gt;FM&gt;REPORTS&gt;GL&gt;CROSS FUND REPORT&gt;SAVED-"COMBINED SALES TAX MONTHLY REPORTING."</t>
  </si>
  <si>
    <t>CITY OF LOCKPORT MONTHLY COMBINED SALES TAX DATA, FY 2024 - FY 2026 (MTD)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</si>
</sst>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4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0" fillId="0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0" fillId="0" borderId="0" xfId="0" applyNumberFormat="1"/>
    <xf numFmtId="164" fontId="0" fillId="3" borderId="6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164" fontId="2" fillId="0" borderId="9" xfId="1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0" applyFont="1" applyAlignment="1">
      <alignment horizontal="center" wrapText="1"/>
    </xf>
  </cellXfs>
  <cellStyles count="7">
    <cellStyle name="Currency" xfId="1" builtinId="4"/>
    <cellStyle name="Currency 2" xfId="3"/>
    <cellStyle name="Currency 3" xfId="6"/>
    <cellStyle name="Normal" xfId="0" builtinId="0"/>
    <cellStyle name="Normal 2" xfId="2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Experienced Sales Taxes, FY 2020 - FY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 2024 - FY 2026 (MTD)'!$D$3</c:f>
              <c:strCache>
                <c:ptCount val="1"/>
                <c:pt idx="0">
                  <c:v>2020 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(MTD)'!$D$4:$D$15</c:f>
            </c:numRef>
          </c:val>
          <c:extLst>
            <c:ext xmlns:c16="http://schemas.microsoft.com/office/drawing/2014/chart" uri="{C3380CC4-5D6E-409C-BE32-E72D297353CC}">
              <c16:uniqueId val="{00000000-CFF1-4ED5-899A-CCF06BB0111E}"/>
            </c:ext>
          </c:extLst>
        </c:ser>
        <c:ser>
          <c:idx val="1"/>
          <c:order val="1"/>
          <c:tx>
            <c:strRef>
              <c:f>'FY 2024 - FY 2026 (MTD)'!$G$3</c:f>
              <c:strCache>
                <c:ptCount val="1"/>
                <c:pt idx="0">
                  <c:v>2021 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(MTD)'!$G$4:$G$15</c:f>
            </c:numRef>
          </c:val>
          <c:extLst>
            <c:ext xmlns:c16="http://schemas.microsoft.com/office/drawing/2014/chart" uri="{C3380CC4-5D6E-409C-BE32-E72D297353CC}">
              <c16:uniqueId val="{00000003-3326-4316-8091-B723AE48CA5B}"/>
            </c:ext>
          </c:extLst>
        </c:ser>
        <c:ser>
          <c:idx val="2"/>
          <c:order val="2"/>
          <c:tx>
            <c:strRef>
              <c:f>'FY 2024 - FY 2026 (MTD)'!$J$3</c:f>
              <c:strCache>
                <c:ptCount val="1"/>
                <c:pt idx="0">
                  <c:v>2022 Actual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(MTD)'!$J$4:$J$15</c:f>
            </c:numRef>
          </c:val>
          <c:extLst>
            <c:ext xmlns:c16="http://schemas.microsoft.com/office/drawing/2014/chart" uri="{C3380CC4-5D6E-409C-BE32-E72D297353CC}">
              <c16:uniqueId val="{00000004-3326-4316-8091-B723AE48CA5B}"/>
            </c:ext>
          </c:extLst>
        </c:ser>
        <c:ser>
          <c:idx val="3"/>
          <c:order val="3"/>
          <c:tx>
            <c:strRef>
              <c:f>'FY 2024 - FY 2026 (MTD)'!$M$3</c:f>
              <c:strCache>
                <c:ptCount val="1"/>
                <c:pt idx="0">
                  <c:v>2023 Actual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(MTD)'!$M$4:$M$15</c:f>
            </c:numRef>
          </c:val>
          <c:extLst>
            <c:ext xmlns:c16="http://schemas.microsoft.com/office/drawing/2014/chart" uri="{C3380CC4-5D6E-409C-BE32-E72D297353CC}">
              <c16:uniqueId val="{00000005-3326-4316-8091-B723AE48CA5B}"/>
            </c:ext>
          </c:extLst>
        </c:ser>
        <c:ser>
          <c:idx val="4"/>
          <c:order val="4"/>
          <c:tx>
            <c:strRef>
              <c:f>'FY 2024 - FY 2026 (MTD)'!$P$3</c:f>
              <c:strCache>
                <c:ptCount val="1"/>
                <c:pt idx="0">
                  <c:v>2024    Actual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(MTD)'!$P$4:$P$15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721434.73</c:v>
                </c:pt>
                <c:pt idx="2">
                  <c:v>614225.39</c:v>
                </c:pt>
                <c:pt idx="3">
                  <c:v>606996.80000000005</c:v>
                </c:pt>
                <c:pt idx="4">
                  <c:v>625532</c:v>
                </c:pt>
                <c:pt idx="5">
                  <c:v>754933</c:v>
                </c:pt>
                <c:pt idx="6">
                  <c:v>741230</c:v>
                </c:pt>
                <c:pt idx="7">
                  <c:v>623151</c:v>
                </c:pt>
                <c:pt idx="8">
                  <c:v>631440</c:v>
                </c:pt>
                <c:pt idx="9">
                  <c:v>896398</c:v>
                </c:pt>
                <c:pt idx="10">
                  <c:v>626961</c:v>
                </c:pt>
                <c:pt idx="11">
                  <c:v>676653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26-4316-8091-B723AE48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57296"/>
        <c:axId val="438258960"/>
      </c:barChart>
      <c:catAx>
        <c:axId val="43825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58960"/>
        <c:crosses val="autoZero"/>
        <c:auto val="1"/>
        <c:lblAlgn val="ctr"/>
        <c:lblOffset val="100"/>
        <c:noMultiLvlLbl val="0"/>
      </c:catAx>
      <c:valAx>
        <c:axId val="4382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57149</xdr:rowOff>
    </xdr:from>
    <xdr:to>
      <xdr:col>13</xdr:col>
      <xdr:colOff>581025</xdr:colOff>
      <xdr:row>43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9"/>
  <sheetViews>
    <sheetView showGridLines="0" tabSelected="1" workbookViewId="0">
      <selection activeCell="AA17" sqref="AA17"/>
    </sheetView>
  </sheetViews>
  <sheetFormatPr defaultRowHeight="15" x14ac:dyDescent="0.25"/>
  <cols>
    <col min="2" max="2" width="12.140625" bestFit="1" customWidth="1"/>
    <col min="3" max="3" width="40.42578125" hidden="1" customWidth="1"/>
    <col min="4" max="4" width="11.5703125" hidden="1" customWidth="1"/>
    <col min="5" max="5" width="10" hidden="1" customWidth="1"/>
    <col min="6" max="6" width="12.140625" hidden="1" customWidth="1"/>
    <col min="7" max="8" width="11.5703125" hidden="1" customWidth="1"/>
    <col min="9" max="10" width="12.140625" hidden="1" customWidth="1"/>
    <col min="11" max="11" width="11.28515625" hidden="1" customWidth="1"/>
    <col min="12" max="13" width="12.140625" hidden="1" customWidth="1"/>
    <col min="14" max="14" width="11.28515625" hidden="1" customWidth="1"/>
    <col min="15" max="15" width="12.140625" bestFit="1" customWidth="1"/>
    <col min="16" max="16" width="11.7109375" customWidth="1"/>
    <col min="17" max="17" width="11.28515625" bestFit="1" customWidth="1"/>
    <col min="18" max="19" width="12.140625" bestFit="1" customWidth="1"/>
    <col min="20" max="20" width="10.5703125" bestFit="1" customWidth="1"/>
    <col min="21" max="22" width="12.140625" bestFit="1" customWidth="1"/>
    <col min="23" max="23" width="12.85546875" bestFit="1" customWidth="1"/>
    <col min="24" max="24" width="2" bestFit="1" customWidth="1"/>
    <col min="25" max="25" width="12.28515625" bestFit="1" customWidth="1"/>
    <col min="27" max="27" width="12.28515625" bestFit="1" customWidth="1"/>
    <col min="28" max="32" width="12.5703125" bestFit="1" customWidth="1"/>
  </cols>
  <sheetData>
    <row r="1" spans="2:27" ht="21" customHeight="1" x14ac:dyDescent="0.35">
      <c r="B1" s="28" t="s">
        <v>39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2:27" ht="15.75" thickBot="1" x14ac:dyDescent="0.3"/>
    <row r="3" spans="2:27" ht="30" x14ac:dyDescent="0.25">
      <c r="B3" s="4" t="s">
        <v>0</v>
      </c>
      <c r="C3" s="5" t="s">
        <v>1</v>
      </c>
      <c r="D3" s="6" t="s">
        <v>2</v>
      </c>
      <c r="E3" s="6" t="s">
        <v>3</v>
      </c>
      <c r="F3" s="5" t="s">
        <v>4</v>
      </c>
      <c r="G3" s="6" t="s">
        <v>5</v>
      </c>
      <c r="H3" s="6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27</v>
      </c>
      <c r="P3" s="5" t="s">
        <v>35</v>
      </c>
      <c r="Q3" s="11" t="s">
        <v>26</v>
      </c>
      <c r="R3" s="14" t="s">
        <v>30</v>
      </c>
      <c r="S3" s="5" t="s">
        <v>36</v>
      </c>
      <c r="T3" s="11" t="s">
        <v>31</v>
      </c>
      <c r="U3" s="14" t="s">
        <v>33</v>
      </c>
      <c r="V3" s="5" t="s">
        <v>37</v>
      </c>
      <c r="W3" s="21" t="s">
        <v>34</v>
      </c>
    </row>
    <row r="4" spans="2:27" x14ac:dyDescent="0.25">
      <c r="B4" s="7" t="s">
        <v>13</v>
      </c>
      <c r="C4" s="1">
        <v>0</v>
      </c>
      <c r="D4" s="2">
        <v>0</v>
      </c>
      <c r="E4" s="2">
        <v>0</v>
      </c>
      <c r="F4" s="1">
        <v>0</v>
      </c>
      <c r="G4" s="2">
        <v>0</v>
      </c>
      <c r="H4" s="2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12">
        <v>0</v>
      </c>
      <c r="R4" s="15">
        <v>0</v>
      </c>
      <c r="S4" s="3">
        <v>0</v>
      </c>
      <c r="T4" s="12">
        <v>0</v>
      </c>
      <c r="U4" s="15">
        <v>0</v>
      </c>
      <c r="V4" s="3">
        <v>0</v>
      </c>
      <c r="W4" s="19">
        <v>0</v>
      </c>
    </row>
    <row r="5" spans="2:27" x14ac:dyDescent="0.25">
      <c r="B5" s="7" t="s">
        <v>14</v>
      </c>
      <c r="C5" s="1">
        <v>528036.14678803086</v>
      </c>
      <c r="D5" s="2">
        <v>537581.33000000007</v>
      </c>
      <c r="E5" s="2">
        <f>D5-C5</f>
        <v>9545.1832119692117</v>
      </c>
      <c r="F5" s="1">
        <v>475232.53210922779</v>
      </c>
      <c r="G5" s="2">
        <v>469437.99</v>
      </c>
      <c r="H5" s="2">
        <f>G5-F5</f>
        <v>-5794.5421092277975</v>
      </c>
      <c r="I5" s="3">
        <v>473540.78154235944</v>
      </c>
      <c r="J5" s="3">
        <v>593049.43999999994</v>
      </c>
      <c r="K5" s="3">
        <f>J5-I5</f>
        <v>119508.6584576405</v>
      </c>
      <c r="L5" s="3">
        <v>601945</v>
      </c>
      <c r="M5" s="3">
        <v>690536.26</v>
      </c>
      <c r="N5" s="3">
        <f t="shared" ref="N5:N15" si="0">M5-L5</f>
        <v>88591.260000000009</v>
      </c>
      <c r="O5" s="3">
        <v>690536.26</v>
      </c>
      <c r="P5" s="3">
        <f>251631.12+469803.61</f>
        <v>721434.73</v>
      </c>
      <c r="Q5" s="12">
        <f>P5-O5</f>
        <v>30898.469999999972</v>
      </c>
      <c r="R5" s="16">
        <v>721435</v>
      </c>
      <c r="S5" s="3">
        <f>219722+467489</f>
        <v>687211</v>
      </c>
      <c r="T5" s="12">
        <f>S5-R5</f>
        <v>-34224</v>
      </c>
      <c r="U5" s="16">
        <v>687211.59</v>
      </c>
      <c r="V5" s="3">
        <f>240806+492011</f>
        <v>732817</v>
      </c>
      <c r="W5" s="20">
        <f>V5-U5</f>
        <v>45605.410000000033</v>
      </c>
    </row>
    <row r="6" spans="2:27" x14ac:dyDescent="0.25">
      <c r="B6" s="7" t="s">
        <v>15</v>
      </c>
      <c r="C6" s="1">
        <v>432946.10671361705</v>
      </c>
      <c r="D6" s="2">
        <v>440772.37</v>
      </c>
      <c r="E6" s="2">
        <f t="shared" ref="E6:E15" si="1">D6-C6</f>
        <v>7826.2632863829494</v>
      </c>
      <c r="F6" s="1">
        <v>389651.49604225537</v>
      </c>
      <c r="G6" s="2">
        <v>429460.86</v>
      </c>
      <c r="H6" s="2">
        <f t="shared" ref="H6:H15" si="2">G6-F6</f>
        <v>39809.363957744616</v>
      </c>
      <c r="I6" s="3">
        <v>433214.25964322535</v>
      </c>
      <c r="J6" s="3">
        <v>508688.63</v>
      </c>
      <c r="K6" s="3">
        <f t="shared" ref="K6:K15" si="3">J6-I6</f>
        <v>75474.370356774656</v>
      </c>
      <c r="L6" s="3">
        <v>516319</v>
      </c>
      <c r="M6" s="3">
        <v>599857.30000000005</v>
      </c>
      <c r="N6" s="3">
        <f t="shared" si="0"/>
        <v>83538.300000000047</v>
      </c>
      <c r="O6" s="3">
        <v>599857.30000000005</v>
      </c>
      <c r="P6" s="3">
        <f>216686.23+397539.16</f>
        <v>614225.39</v>
      </c>
      <c r="Q6" s="12">
        <f t="shared" ref="Q6:Q15" si="4">P6-O6</f>
        <v>14368.089999999967</v>
      </c>
      <c r="R6" s="16">
        <v>614225</v>
      </c>
      <c r="S6" s="3">
        <f>201585+397287</f>
        <v>598872</v>
      </c>
      <c r="T6" s="12">
        <f t="shared" ref="T6:T15" si="5">S6-R6</f>
        <v>-15353</v>
      </c>
      <c r="U6" s="16">
        <v>598872</v>
      </c>
      <c r="V6" s="3">
        <f>215142+421937</f>
        <v>637079</v>
      </c>
      <c r="W6" s="20">
        <f t="shared" ref="W6:W13" si="6">V6-U6</f>
        <v>38207</v>
      </c>
    </row>
    <row r="7" spans="2:27" x14ac:dyDescent="0.25">
      <c r="B7" s="7" t="s">
        <v>16</v>
      </c>
      <c r="C7" s="1">
        <v>571177.52048750594</v>
      </c>
      <c r="D7" s="2">
        <v>581502.56000000006</v>
      </c>
      <c r="E7" s="2">
        <f t="shared" si="1"/>
        <v>10325.039512494113</v>
      </c>
      <c r="F7" s="1">
        <v>514059.76843875536</v>
      </c>
      <c r="G7" s="2">
        <v>677150.81</v>
      </c>
      <c r="H7" s="2">
        <f t="shared" si="2"/>
        <v>163091.0415612447</v>
      </c>
      <c r="I7" s="3">
        <v>683068.96889500099</v>
      </c>
      <c r="J7" s="3">
        <v>778808.71</v>
      </c>
      <c r="K7" s="3">
        <f t="shared" si="3"/>
        <v>95739.741104998975</v>
      </c>
      <c r="L7" s="3">
        <v>790491</v>
      </c>
      <c r="M7" s="3">
        <v>773395.65999999992</v>
      </c>
      <c r="N7" s="3">
        <f t="shared" si="0"/>
        <v>-17095.340000000084</v>
      </c>
      <c r="O7" s="3">
        <v>773395.65999999992</v>
      </c>
      <c r="P7" s="3">
        <f>209259.16+397737.64</f>
        <v>606996.80000000005</v>
      </c>
      <c r="Q7" s="12">
        <f t="shared" si="4"/>
        <v>-166398.85999999987</v>
      </c>
      <c r="R7" s="16">
        <v>606997</v>
      </c>
      <c r="S7" s="3">
        <f>302295+510412</f>
        <v>812707</v>
      </c>
      <c r="T7" s="12">
        <f t="shared" si="5"/>
        <v>205710</v>
      </c>
      <c r="U7" s="16">
        <v>812707</v>
      </c>
      <c r="V7" s="3">
        <f>447186+526642</f>
        <v>973828</v>
      </c>
      <c r="W7" s="20">
        <f t="shared" si="6"/>
        <v>161121</v>
      </c>
    </row>
    <row r="8" spans="2:27" x14ac:dyDescent="0.25">
      <c r="B8" s="7" t="s">
        <v>17</v>
      </c>
      <c r="C8" s="1">
        <v>306299.25164107612</v>
      </c>
      <c r="D8" s="2">
        <v>311836.15000000002</v>
      </c>
      <c r="E8" s="2">
        <f t="shared" si="1"/>
        <v>5536.8983589239069</v>
      </c>
      <c r="F8" s="1">
        <v>275669.32647696853</v>
      </c>
      <c r="G8" s="2">
        <v>517738.18000000005</v>
      </c>
      <c r="H8" s="2">
        <f t="shared" si="2"/>
        <v>242068.85352303152</v>
      </c>
      <c r="I8" s="3">
        <v>522263.10527513723</v>
      </c>
      <c r="J8" s="3">
        <v>602602.82000000007</v>
      </c>
      <c r="K8" s="3">
        <f t="shared" si="3"/>
        <v>80339.714724862832</v>
      </c>
      <c r="L8" s="3">
        <v>611642</v>
      </c>
      <c r="M8" s="3">
        <v>593445.07000000007</v>
      </c>
      <c r="N8" s="3">
        <f t="shared" si="0"/>
        <v>-18196.929999999935</v>
      </c>
      <c r="O8" s="3">
        <v>593445</v>
      </c>
      <c r="P8" s="3">
        <f>205360+420172</f>
        <v>625532</v>
      </c>
      <c r="Q8" s="12">
        <f t="shared" si="4"/>
        <v>32087</v>
      </c>
      <c r="R8" s="16">
        <v>625532</v>
      </c>
      <c r="S8" s="3">
        <f>177977+456614</f>
        <v>634591</v>
      </c>
      <c r="T8" s="12">
        <f t="shared" si="5"/>
        <v>9059</v>
      </c>
      <c r="U8" s="16">
        <v>634592</v>
      </c>
      <c r="V8" s="3"/>
      <c r="W8" s="20">
        <f t="shared" si="6"/>
        <v>-634592</v>
      </c>
      <c r="AA8" s="18">
        <f>SUM(U5:U13)</f>
        <v>6478390.5899999999</v>
      </c>
    </row>
    <row r="9" spans="2:27" x14ac:dyDescent="0.25">
      <c r="B9" s="7" t="s">
        <v>18</v>
      </c>
      <c r="C9" s="1">
        <v>488704.32866301294</v>
      </c>
      <c r="D9" s="2">
        <v>497538.52</v>
      </c>
      <c r="E9" s="2">
        <f t="shared" si="1"/>
        <v>8834.1913369870745</v>
      </c>
      <c r="F9" s="1">
        <v>439833.89579671161</v>
      </c>
      <c r="G9" s="2">
        <v>542171.49</v>
      </c>
      <c r="H9" s="2">
        <f t="shared" si="2"/>
        <v>102337.59420328838</v>
      </c>
      <c r="I9" s="3">
        <v>546909.95738241274</v>
      </c>
      <c r="J9" s="3">
        <v>813378.32000000007</v>
      </c>
      <c r="K9" s="3">
        <f t="shared" si="3"/>
        <v>266468.36261758732</v>
      </c>
      <c r="L9" s="3">
        <v>825579</v>
      </c>
      <c r="M9" s="3">
        <v>721525.6100000001</v>
      </c>
      <c r="N9" s="3">
        <f t="shared" si="0"/>
        <v>-104053.3899999999</v>
      </c>
      <c r="O9" s="3">
        <v>721525.6100000001</v>
      </c>
      <c r="P9" s="3">
        <f>320733+434200</f>
        <v>754933</v>
      </c>
      <c r="Q9" s="12">
        <f t="shared" si="4"/>
        <v>33407.389999999898</v>
      </c>
      <c r="R9" s="16">
        <v>754933</v>
      </c>
      <c r="S9" s="3">
        <f>393174+459621</f>
        <v>852795</v>
      </c>
      <c r="T9" s="12">
        <f t="shared" si="5"/>
        <v>97862</v>
      </c>
      <c r="U9" s="16">
        <v>852794</v>
      </c>
      <c r="V9" s="3"/>
      <c r="W9" s="20">
        <f t="shared" si="6"/>
        <v>-852794</v>
      </c>
      <c r="AA9" s="18">
        <f>SUM(V4:V13)</f>
        <v>2343724</v>
      </c>
    </row>
    <row r="10" spans="2:27" x14ac:dyDescent="0.25">
      <c r="B10" s="7" t="s">
        <v>19</v>
      </c>
      <c r="C10" s="1">
        <v>534378.57620741194</v>
      </c>
      <c r="D10" s="2">
        <v>544038.41</v>
      </c>
      <c r="E10" s="2">
        <f t="shared" si="1"/>
        <v>9659.8337925880915</v>
      </c>
      <c r="F10" s="1">
        <v>480940.71858667076</v>
      </c>
      <c r="G10" s="2">
        <v>828544.47</v>
      </c>
      <c r="H10" s="2">
        <f t="shared" si="2"/>
        <v>347603.75141332921</v>
      </c>
      <c r="I10" s="3">
        <v>816855.77836531703</v>
      </c>
      <c r="J10" s="3">
        <v>553111.69000000006</v>
      </c>
      <c r="K10" s="3">
        <f t="shared" si="3"/>
        <v>-263744.08836531697</v>
      </c>
      <c r="L10" s="3">
        <v>561408</v>
      </c>
      <c r="M10" s="3">
        <v>686638.85</v>
      </c>
      <c r="N10" s="3">
        <f t="shared" si="0"/>
        <v>125230.84999999998</v>
      </c>
      <c r="O10" s="3">
        <v>686638.85</v>
      </c>
      <c r="P10" s="3">
        <f>172227+569003</f>
        <v>741230</v>
      </c>
      <c r="Q10" s="12">
        <f t="shared" si="4"/>
        <v>54591.150000000023</v>
      </c>
      <c r="R10" s="16">
        <v>741230</v>
      </c>
      <c r="S10" s="3">
        <f>174391+544677</f>
        <v>719068</v>
      </c>
      <c r="T10" s="12">
        <f t="shared" si="5"/>
        <v>-22162</v>
      </c>
      <c r="U10" s="16">
        <v>741230</v>
      </c>
      <c r="V10" s="3"/>
      <c r="W10" s="20">
        <f t="shared" si="6"/>
        <v>-741230</v>
      </c>
      <c r="AA10" s="18">
        <f>AA9-AA8</f>
        <v>-4134666.59</v>
      </c>
    </row>
    <row r="11" spans="2:27" x14ac:dyDescent="0.25">
      <c r="B11" s="7" t="s">
        <v>20</v>
      </c>
      <c r="C11" s="1">
        <v>426077.21404456266</v>
      </c>
      <c r="D11" s="2">
        <v>433779.30999999994</v>
      </c>
      <c r="E11" s="2">
        <f t="shared" si="1"/>
        <v>7702.0959554372821</v>
      </c>
      <c r="F11" s="1">
        <v>383469.49264010641</v>
      </c>
      <c r="G11" s="2">
        <v>552974.06000000006</v>
      </c>
      <c r="H11" s="2">
        <f t="shared" si="2"/>
        <v>169504.56735989364</v>
      </c>
      <c r="I11" s="3">
        <v>557806.87909941992</v>
      </c>
      <c r="J11" s="3">
        <v>606779.12</v>
      </c>
      <c r="K11" s="3">
        <f t="shared" si="3"/>
        <v>48972.240900580073</v>
      </c>
      <c r="L11" s="3">
        <v>561269</v>
      </c>
      <c r="M11" s="3">
        <v>641532.33000000007</v>
      </c>
      <c r="N11" s="3">
        <f t="shared" si="0"/>
        <v>80263.330000000075</v>
      </c>
      <c r="O11" s="3">
        <v>641532.33000000007</v>
      </c>
      <c r="P11" s="3">
        <f>161229+461922</f>
        <v>623151</v>
      </c>
      <c r="Q11" s="12">
        <f t="shared" si="4"/>
        <v>-18381.330000000075</v>
      </c>
      <c r="R11" s="16">
        <v>641532.33000000007</v>
      </c>
      <c r="S11" s="3">
        <f>206903+495233</f>
        <v>702136</v>
      </c>
      <c r="T11" s="12">
        <f t="shared" si="5"/>
        <v>60603.669999999925</v>
      </c>
      <c r="U11" s="16">
        <v>623149</v>
      </c>
      <c r="V11" s="3"/>
      <c r="W11" s="20">
        <f t="shared" si="6"/>
        <v>-623149</v>
      </c>
    </row>
    <row r="12" spans="2:27" x14ac:dyDescent="0.25">
      <c r="B12" s="7" t="s">
        <v>21</v>
      </c>
      <c r="C12" s="1">
        <v>440440.26657705277</v>
      </c>
      <c r="D12" s="2">
        <v>448402</v>
      </c>
      <c r="E12" s="2">
        <f t="shared" si="1"/>
        <v>7961.7334229472326</v>
      </c>
      <c r="F12" s="1">
        <v>396396.23991934746</v>
      </c>
      <c r="G12" s="2">
        <v>548900.30999999994</v>
      </c>
      <c r="H12" s="2">
        <f t="shared" si="2"/>
        <v>152504.07008065248</v>
      </c>
      <c r="I12" s="3">
        <v>452320.94131358451</v>
      </c>
      <c r="J12" s="3">
        <v>602555.42000000004</v>
      </c>
      <c r="K12" s="3">
        <f t="shared" si="3"/>
        <v>150234.47868641553</v>
      </c>
      <c r="L12" s="3">
        <v>557134</v>
      </c>
      <c r="M12" s="3">
        <v>619075.68999999994</v>
      </c>
      <c r="N12" s="3">
        <f t="shared" si="0"/>
        <v>61941.689999999944</v>
      </c>
      <c r="O12" s="3">
        <v>602555.42000000004</v>
      </c>
      <c r="P12" s="3">
        <f>171241+460199</f>
        <v>631440</v>
      </c>
      <c r="Q12" s="12">
        <f t="shared" si="4"/>
        <v>28884.579999999958</v>
      </c>
      <c r="R12" s="16">
        <v>619076</v>
      </c>
      <c r="S12" s="3">
        <f>188118+511528</f>
        <v>699646</v>
      </c>
      <c r="T12" s="12">
        <f t="shared" si="5"/>
        <v>80570</v>
      </c>
      <c r="U12" s="16">
        <v>631438</v>
      </c>
      <c r="V12" s="3"/>
      <c r="W12" s="20">
        <f t="shared" si="6"/>
        <v>-631438</v>
      </c>
    </row>
    <row r="13" spans="2:27" x14ac:dyDescent="0.25">
      <c r="B13" s="7" t="s">
        <v>22</v>
      </c>
      <c r="C13" s="1">
        <v>843363.32279818121</v>
      </c>
      <c r="D13" s="2">
        <v>858608.6</v>
      </c>
      <c r="E13" s="2">
        <f t="shared" si="1"/>
        <v>15245.277201818768</v>
      </c>
      <c r="F13" s="1">
        <v>759026.99051836308</v>
      </c>
      <c r="G13" s="2">
        <v>815211.02</v>
      </c>
      <c r="H13" s="2">
        <f t="shared" si="2"/>
        <v>56184.029481636942</v>
      </c>
      <c r="I13" s="3">
        <v>866112.66268201068</v>
      </c>
      <c r="J13" s="3">
        <v>818429.2</v>
      </c>
      <c r="K13" s="3">
        <f t="shared" si="3"/>
        <v>-47683.462682010722</v>
      </c>
      <c r="L13" s="3">
        <v>827439</v>
      </c>
      <c r="M13" s="3">
        <v>806760.47</v>
      </c>
      <c r="N13" s="3">
        <f t="shared" si="0"/>
        <v>-20678.530000000028</v>
      </c>
      <c r="O13" s="3">
        <v>818429.2</v>
      </c>
      <c r="P13" s="3">
        <f>332929+563469</f>
        <v>896398</v>
      </c>
      <c r="Q13" s="12">
        <f t="shared" si="4"/>
        <v>77968.800000000047</v>
      </c>
      <c r="R13" s="16">
        <v>806760</v>
      </c>
      <c r="S13" s="3">
        <f>339065+576269</f>
        <v>915334</v>
      </c>
      <c r="T13" s="12">
        <f t="shared" si="5"/>
        <v>108574</v>
      </c>
      <c r="U13" s="16">
        <v>896397</v>
      </c>
      <c r="V13" s="3"/>
      <c r="W13" s="20">
        <f t="shared" si="6"/>
        <v>-896397</v>
      </c>
    </row>
    <row r="14" spans="2:27" x14ac:dyDescent="0.25">
      <c r="B14" s="7" t="s">
        <v>23</v>
      </c>
      <c r="C14" s="1">
        <v>432541.55961482535</v>
      </c>
      <c r="D14" s="2">
        <v>440360.51</v>
      </c>
      <c r="E14" s="2">
        <f t="shared" si="1"/>
        <v>7818.9503851746558</v>
      </c>
      <c r="F14" s="1">
        <v>389287.4036533428</v>
      </c>
      <c r="G14" s="2">
        <v>497773.13</v>
      </c>
      <c r="H14" s="2">
        <f t="shared" si="2"/>
        <v>108485.7263466572</v>
      </c>
      <c r="I14" s="3">
        <v>444209.17034386587</v>
      </c>
      <c r="J14" s="3">
        <v>591993.13</v>
      </c>
      <c r="K14" s="3">
        <f t="shared" si="3"/>
        <v>147783.95965613413</v>
      </c>
      <c r="L14" s="3">
        <v>505240</v>
      </c>
      <c r="M14" s="3">
        <v>587568.6</v>
      </c>
      <c r="N14" s="3">
        <f t="shared" si="0"/>
        <v>82328.599999999977</v>
      </c>
      <c r="O14" s="3">
        <v>591993.13</v>
      </c>
      <c r="P14" s="3">
        <f>172052+454909</f>
        <v>626961</v>
      </c>
      <c r="Q14" s="12">
        <f t="shared" si="4"/>
        <v>34967.869999999995</v>
      </c>
      <c r="R14" s="16">
        <v>587569</v>
      </c>
      <c r="S14" s="3">
        <f>175835.84+460746.64</f>
        <v>636582.48</v>
      </c>
      <c r="T14" s="12">
        <f t="shared" si="5"/>
        <v>49013.479999999981</v>
      </c>
      <c r="U14" s="16">
        <v>626960</v>
      </c>
      <c r="V14" s="3"/>
      <c r="W14" s="19">
        <f t="shared" ref="W14:W15" si="7">V14-U14</f>
        <v>-626960</v>
      </c>
      <c r="Y14" s="18">
        <f>V16-SUM(U5:U7)</f>
        <v>244933.41000000015</v>
      </c>
    </row>
    <row r="15" spans="2:27" x14ac:dyDescent="0.25">
      <c r="B15" s="7" t="s">
        <v>24</v>
      </c>
      <c r="C15" s="1">
        <v>1146035.7064647232</v>
      </c>
      <c r="D15" s="2">
        <v>1166752.32</v>
      </c>
      <c r="E15" s="2">
        <f t="shared" si="1"/>
        <v>20716.613535276847</v>
      </c>
      <c r="F15" s="1">
        <v>1031432.1358182508</v>
      </c>
      <c r="G15" s="2">
        <v>1353428</v>
      </c>
      <c r="H15" s="2">
        <f t="shared" si="2"/>
        <v>321995.86418174917</v>
      </c>
      <c r="I15" s="3">
        <v>1176927.49545767</v>
      </c>
      <c r="J15" s="3">
        <v>1364698.79</v>
      </c>
      <c r="K15" s="3">
        <f t="shared" si="3"/>
        <v>187771.29454233008</v>
      </c>
      <c r="L15" s="3">
        <v>1373729</v>
      </c>
      <c r="M15" s="3">
        <v>1467042</v>
      </c>
      <c r="N15" s="3">
        <f t="shared" si="0"/>
        <v>93313</v>
      </c>
      <c r="O15" s="3">
        <v>1364698.79</v>
      </c>
      <c r="P15" s="3">
        <f>222223+454430</f>
        <v>676653</v>
      </c>
      <c r="Q15" s="12">
        <f t="shared" si="4"/>
        <v>-688045.79</v>
      </c>
      <c r="R15" s="16">
        <v>1467042</v>
      </c>
      <c r="S15" s="3">
        <f>326022.55+462818.48+594932</f>
        <v>1383773.03</v>
      </c>
      <c r="T15" s="12">
        <f t="shared" si="5"/>
        <v>-83268.969999999972</v>
      </c>
      <c r="U15" s="16">
        <v>1375569</v>
      </c>
      <c r="V15" s="3"/>
      <c r="W15" s="20">
        <f t="shared" si="7"/>
        <v>-1375569</v>
      </c>
      <c r="X15" t="s">
        <v>32</v>
      </c>
    </row>
    <row r="16" spans="2:27" ht="15.75" thickBot="1" x14ac:dyDescent="0.3">
      <c r="B16" s="8" t="s">
        <v>25</v>
      </c>
      <c r="C16" s="9">
        <f>SUM(C4:C15)</f>
        <v>6150000</v>
      </c>
      <c r="D16" s="10">
        <f>SUM(D4:D15)</f>
        <v>6261172.0800000001</v>
      </c>
      <c r="E16" s="10">
        <f>SUM(E4:E15)</f>
        <v>111172.08000000013</v>
      </c>
      <c r="F16" s="9">
        <f>SUM(F4:F15)</f>
        <v>5535000</v>
      </c>
      <c r="G16" s="10">
        <f t="shared" ref="G16:R16" si="8">SUM(G4:G15)</f>
        <v>7232790.3199999994</v>
      </c>
      <c r="H16" s="10">
        <f t="shared" si="8"/>
        <v>1697790.3199999998</v>
      </c>
      <c r="I16" s="10">
        <f t="shared" si="8"/>
        <v>6973230.0000000037</v>
      </c>
      <c r="J16" s="10">
        <f t="shared" si="8"/>
        <v>7834095.2699999996</v>
      </c>
      <c r="K16" s="10">
        <f t="shared" si="8"/>
        <v>860865.26999999629</v>
      </c>
      <c r="L16" s="10">
        <f t="shared" si="8"/>
        <v>7732195</v>
      </c>
      <c r="M16" s="10">
        <f t="shared" si="8"/>
        <v>8187377.8399999989</v>
      </c>
      <c r="N16" s="10">
        <f t="shared" si="8"/>
        <v>455182.84000000008</v>
      </c>
      <c r="O16" s="10">
        <f t="shared" si="8"/>
        <v>8084607.5499999998</v>
      </c>
      <c r="P16" s="10">
        <f>SUM(P4:P15)</f>
        <v>7518954.9199999999</v>
      </c>
      <c r="Q16" s="13">
        <f t="shared" si="8"/>
        <v>-565652.63000000012</v>
      </c>
      <c r="R16" s="17">
        <f t="shared" si="8"/>
        <v>8186331.3300000001</v>
      </c>
      <c r="S16" s="10">
        <f>SUM(S4:S15)</f>
        <v>8642715.5099999998</v>
      </c>
      <c r="T16" s="13">
        <f t="shared" ref="T16" si="9">SUM(T4:T15)</f>
        <v>456384.17999999993</v>
      </c>
      <c r="U16" s="17">
        <f t="shared" ref="U16" si="10">SUM(U4:U15)</f>
        <v>8480919.5899999999</v>
      </c>
      <c r="V16" s="10">
        <f>SUM(V4:V15)</f>
        <v>2343724</v>
      </c>
      <c r="W16" s="25">
        <f t="shared" ref="W16" si="11">SUM(W4:W15)</f>
        <v>-6137195.5899999999</v>
      </c>
    </row>
    <row r="21" spans="2:21" ht="15.75" thickBot="1" x14ac:dyDescent="0.3"/>
    <row r="22" spans="2:21" ht="15.75" thickBot="1" x14ac:dyDescent="0.3">
      <c r="B22" s="22" t="s">
        <v>38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26"/>
      <c r="O22" s="26"/>
      <c r="P22" s="26"/>
      <c r="Q22" s="26"/>
      <c r="R22" s="26"/>
      <c r="S22" s="26"/>
      <c r="T22" s="26"/>
      <c r="U22" s="27"/>
    </row>
    <row r="48" spans="3:3" x14ac:dyDescent="0.25">
      <c r="C48" t="s">
        <v>28</v>
      </c>
    </row>
    <row r="49" spans="3:3" x14ac:dyDescent="0.25">
      <c r="C49" t="s">
        <v>29</v>
      </c>
    </row>
  </sheetData>
  <mergeCells count="1">
    <mergeCell ref="B1:W1"/>
  </mergeCells>
  <conditionalFormatting sqref="W4:W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:W13 W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2024 - FY 2026 (MTD)</vt:lpstr>
      <vt:lpstr>'FY 2024 - FY 2026 (MTD)'!Print_Area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2025-06-26T12:32:20Z</cp:lastPrinted>
  <dcterms:created xsi:type="dcterms:W3CDTF">2023-01-11T15:37:21Z</dcterms:created>
  <dcterms:modified xsi:type="dcterms:W3CDTF">2026-05-26T14:17:01Z</dcterms:modified>
</cp:coreProperties>
</file>